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6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lunet-my.sharepoint.com/personal/srrh_lunet_lboro_ac_uk/Documents/Rosemary's Documents/DV Thesis/DA Commissioner/Pilot project/DAC data share/Report drafts/"/>
    </mc:Choice>
  </mc:AlternateContent>
  <xr:revisionPtr revIDLastSave="4951" documentId="8_{C8E3070C-B6E6-4762-9243-1F6B7F4CA7EF}" xr6:coauthVersionLast="47" xr6:coauthVersionMax="47" xr10:uidLastSave="{FB9979BC-6AAF-456A-8627-12C6BA9BF9CB}"/>
  <bookViews>
    <workbookView xWindow="-110" yWindow="-110" windowWidth="19420" windowHeight="10300" tabRatio="918" firstSheet="3" activeTab="4" xr2:uid="{D713037B-BFE8-47C9-8BB9-AABC6173BC85}"/>
  </bookViews>
  <sheets>
    <sheet name="1. File Sample" sheetId="95" r:id="rId1"/>
    <sheet name="2. Parties and children" sheetId="9" r:id="rId2"/>
    <sheet name="3. Ethnicity" sheetId="6" r:id="rId3"/>
    <sheet name="4. Health issues" sheetId="8" r:id="rId4"/>
    <sheet name="5. Orders applied for" sheetId="10" r:id="rId5"/>
    <sheet name="6. Case duration" sheetId="99" r:id="rId6"/>
    <sheet name="7. Evidence of DA " sheetId="85" r:id="rId7"/>
    <sheet name="8. Types of DA" sheetId="87" r:id="rId8"/>
    <sheet name="9. Cross-allegations" sheetId="96" r:id="rId9"/>
    <sheet name="10. Cases reallocated" sheetId="98" r:id="rId10"/>
    <sheet name="11. MIAMs and mediation" sheetId="15" r:id="rId11"/>
    <sheet name="12. Documents" sheetId="103" r:id="rId12"/>
    <sheet name="13. Safeguarding letters" sheetId="20" r:id="rId13"/>
    <sheet name="14. LA involvement" sheetId="14" r:id="rId14"/>
    <sheet name="15. Other proceedings" sheetId="93" r:id="rId15"/>
    <sheet name="16. Guardian appointment" sheetId="13" r:id="rId16"/>
    <sheet name="17. Hearings" sheetId="38" r:id="rId17"/>
    <sheet name="18. Attendance with parties" sheetId="64" r:id="rId18"/>
    <sheet name="19. Special measures" sheetId="55" r:id="rId19"/>
    <sheet name="20. FFH process" sheetId="39" r:id="rId20"/>
    <sheet name="21. Scott Schedules" sheetId="101" r:id="rId21"/>
    <sheet name="22. FFH outcomes" sheetId="102" r:id="rId22"/>
    <sheet name="23. Section 7 reports" sheetId="22" r:id="rId23"/>
    <sheet name="24. Section 7 recommendations" sheetId="26" r:id="rId24"/>
    <sheet name="25. Final hearings" sheetId="48" r:id="rId25"/>
    <sheet name="26. Judicial continutiy " sheetId="51" r:id="rId26"/>
    <sheet name="27. Interim orders" sheetId="71" r:id="rId27"/>
    <sheet name="28. Final orders" sheetId="78" r:id="rId28"/>
    <sheet name="29. Section 91(14) orders" sheetId="83" r:id="rId29"/>
  </sheets>
  <definedNames>
    <definedName name="_xlnm._FilterDatabase" localSheetId="12" hidden="1">'13. Safeguarding letters'!$B$3:$D$20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0" l="1"/>
  <c r="D33" i="20"/>
  <c r="D32" i="20"/>
  <c r="D10" i="20"/>
  <c r="F18" i="39"/>
  <c r="F17" i="39"/>
  <c r="F16" i="39"/>
  <c r="F15" i="39"/>
  <c r="F14" i="39"/>
  <c r="D18" i="39"/>
  <c r="D17" i="39"/>
  <c r="D16" i="39"/>
  <c r="D15" i="39"/>
  <c r="D14" i="39"/>
  <c r="H7" i="39"/>
  <c r="H6" i="39"/>
  <c r="H5" i="39"/>
  <c r="F7" i="39"/>
  <c r="F6" i="39"/>
  <c r="F5" i="39"/>
  <c r="D7" i="39"/>
  <c r="D6" i="39"/>
  <c r="D5" i="39"/>
  <c r="F47" i="20"/>
  <c r="F46" i="20"/>
  <c r="F45" i="20"/>
  <c r="F44" i="20"/>
  <c r="F43" i="20"/>
  <c r="F42" i="20"/>
  <c r="D31" i="20"/>
  <c r="D30" i="20"/>
  <c r="D29" i="20"/>
  <c r="D27" i="20"/>
  <c r="D28" i="20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K21" i="38"/>
  <c r="K20" i="38"/>
  <c r="K19" i="38"/>
  <c r="K18" i="38"/>
  <c r="K17" i="38"/>
  <c r="K15" i="38"/>
  <c r="K14" i="38"/>
  <c r="K13" i="38"/>
  <c r="H21" i="38"/>
  <c r="H20" i="38"/>
  <c r="H19" i="38"/>
  <c r="H18" i="38"/>
  <c r="H17" i="38"/>
  <c r="H15" i="38"/>
  <c r="H14" i="38"/>
  <c r="H13" i="38"/>
  <c r="E21" i="38"/>
  <c r="E20" i="38"/>
  <c r="E19" i="38"/>
  <c r="E18" i="38"/>
  <c r="E17" i="38"/>
  <c r="E15" i="38"/>
  <c r="E14" i="38"/>
  <c r="E13" i="38"/>
  <c r="F23" i="38" l="1"/>
  <c r="C23" i="38"/>
  <c r="I23" i="38" l="1"/>
  <c r="J79" i="78" l="1"/>
  <c r="J78" i="78"/>
  <c r="J76" i="78"/>
  <c r="J77" i="78"/>
  <c r="J75" i="78"/>
  <c r="H78" i="78"/>
  <c r="H76" i="78"/>
  <c r="H77" i="78"/>
  <c r="H75" i="78"/>
  <c r="F79" i="78"/>
  <c r="F78" i="78"/>
  <c r="F76" i="78"/>
  <c r="F77" i="78"/>
  <c r="F75" i="78"/>
  <c r="D79" i="78"/>
  <c r="D78" i="78"/>
  <c r="D76" i="78"/>
  <c r="D77" i="78"/>
  <c r="D75" i="78"/>
  <c r="L67" i="78"/>
  <c r="L66" i="78"/>
  <c r="L65" i="78"/>
  <c r="J67" i="78"/>
  <c r="J66" i="78"/>
  <c r="J65" i="78"/>
  <c r="H67" i="78"/>
  <c r="H66" i="78"/>
  <c r="H65" i="78"/>
  <c r="F67" i="78"/>
  <c r="F66" i="78"/>
  <c r="F65" i="78"/>
  <c r="D67" i="78"/>
  <c r="D66" i="78"/>
  <c r="D65" i="78"/>
  <c r="J58" i="78"/>
  <c r="J57" i="78"/>
  <c r="J56" i="78"/>
  <c r="J55" i="78"/>
  <c r="J54" i="78"/>
  <c r="J53" i="78"/>
  <c r="J52" i="78"/>
  <c r="J51" i="78"/>
  <c r="H58" i="78"/>
  <c r="H57" i="78"/>
  <c r="H56" i="78"/>
  <c r="H55" i="78"/>
  <c r="H54" i="78"/>
  <c r="H53" i="78"/>
  <c r="H52" i="78"/>
  <c r="H51" i="78"/>
  <c r="F58" i="78"/>
  <c r="F55" i="78"/>
  <c r="F53" i="78"/>
  <c r="F51" i="78"/>
  <c r="D58" i="78"/>
  <c r="D57" i="78"/>
  <c r="D56" i="78"/>
  <c r="D55" i="78"/>
  <c r="D54" i="78"/>
  <c r="D53" i="78"/>
  <c r="D52" i="78"/>
  <c r="D51" i="78"/>
  <c r="J44" i="78"/>
  <c r="J42" i="78"/>
  <c r="J41" i="78"/>
  <c r="J40" i="78"/>
  <c r="H44" i="78"/>
  <c r="H43" i="78"/>
  <c r="H42" i="78"/>
  <c r="H41" i="78"/>
  <c r="H40" i="78"/>
  <c r="L58" i="78"/>
  <c r="L57" i="78"/>
  <c r="L56" i="78"/>
  <c r="L55" i="78"/>
  <c r="L54" i="78"/>
  <c r="L53" i="78"/>
  <c r="L52" i="78"/>
  <c r="L51" i="78"/>
  <c r="F44" i="78"/>
  <c r="F43" i="78"/>
  <c r="F42" i="78"/>
  <c r="F41" i="78"/>
  <c r="F40" i="78"/>
  <c r="D44" i="78"/>
  <c r="D43" i="78"/>
  <c r="D42" i="78"/>
  <c r="D41" i="78"/>
  <c r="D40" i="78"/>
  <c r="L44" i="78"/>
  <c r="L43" i="78"/>
  <c r="L42" i="78"/>
  <c r="L41" i="78"/>
  <c r="L40" i="78"/>
  <c r="H32" i="78"/>
  <c r="H31" i="78"/>
  <c r="H30" i="78"/>
  <c r="H29" i="78"/>
  <c r="H28" i="78"/>
  <c r="H27" i="78"/>
  <c r="H26" i="78"/>
  <c r="H25" i="78"/>
  <c r="F32" i="78"/>
  <c r="F31" i="78"/>
  <c r="F30" i="78"/>
  <c r="F29" i="78"/>
  <c r="F28" i="78"/>
  <c r="F27" i="78"/>
  <c r="F26" i="78"/>
  <c r="F25" i="78"/>
  <c r="D32" i="78"/>
  <c r="D31" i="78"/>
  <c r="D30" i="78"/>
  <c r="D29" i="78"/>
  <c r="D28" i="78"/>
  <c r="D27" i="78"/>
  <c r="D26" i="78"/>
  <c r="D25" i="78"/>
  <c r="H18" i="78"/>
  <c r="H17" i="78"/>
  <c r="H16" i="78"/>
  <c r="H15" i="78"/>
  <c r="H14" i="78"/>
  <c r="F18" i="78"/>
  <c r="F17" i="78"/>
  <c r="F16" i="78"/>
  <c r="F15" i="78"/>
  <c r="F14" i="78"/>
  <c r="D18" i="78"/>
  <c r="D17" i="78"/>
  <c r="D16" i="78"/>
  <c r="D15" i="78"/>
  <c r="D14" i="78"/>
  <c r="H43" i="71"/>
  <c r="H42" i="71"/>
  <c r="H41" i="71"/>
  <c r="F43" i="71"/>
  <c r="F42" i="71"/>
  <c r="F41" i="71"/>
  <c r="D43" i="71"/>
  <c r="D42" i="71"/>
  <c r="D41" i="71"/>
  <c r="H34" i="71"/>
  <c r="H33" i="71"/>
  <c r="H32" i="71"/>
  <c r="H31" i="71"/>
  <c r="H30" i="71"/>
  <c r="H29" i="71"/>
  <c r="H28" i="71"/>
  <c r="H27" i="71"/>
  <c r="F34" i="71"/>
  <c r="F33" i="71"/>
  <c r="F32" i="71"/>
  <c r="F31" i="71"/>
  <c r="F30" i="71"/>
  <c r="F29" i="71"/>
  <c r="F28" i="71"/>
  <c r="F27" i="71"/>
  <c r="D34" i="71"/>
  <c r="D33" i="71"/>
  <c r="D32" i="71"/>
  <c r="D31" i="71"/>
  <c r="D30" i="71"/>
  <c r="D29" i="71"/>
  <c r="D28" i="71"/>
  <c r="D27" i="71"/>
  <c r="H20" i="71"/>
  <c r="H19" i="71"/>
  <c r="H18" i="71"/>
  <c r="H17" i="71"/>
  <c r="H16" i="71"/>
  <c r="F20" i="71"/>
  <c r="F19" i="71"/>
  <c r="F18" i="71"/>
  <c r="F17" i="71"/>
  <c r="F16" i="71"/>
  <c r="D20" i="71"/>
  <c r="D19" i="71"/>
  <c r="D18" i="71"/>
  <c r="D17" i="71"/>
  <c r="D16" i="71"/>
  <c r="H6" i="71"/>
  <c r="H5" i="71"/>
  <c r="H4" i="71"/>
  <c r="F6" i="71"/>
  <c r="F5" i="71"/>
  <c r="F4" i="71"/>
  <c r="D6" i="71"/>
  <c r="D5" i="71"/>
  <c r="D4" i="71"/>
  <c r="H17" i="51"/>
  <c r="H16" i="51"/>
  <c r="H15" i="51"/>
  <c r="F17" i="51"/>
  <c r="F16" i="51"/>
  <c r="F15" i="51"/>
  <c r="D17" i="51"/>
  <c r="D16" i="51"/>
  <c r="D15" i="51"/>
  <c r="F8" i="51"/>
  <c r="F7" i="51"/>
  <c r="F6" i="51"/>
  <c r="F5" i="51"/>
  <c r="F4" i="51"/>
  <c r="D8" i="51"/>
  <c r="D7" i="51"/>
  <c r="D6" i="51"/>
  <c r="D5" i="51"/>
  <c r="D4" i="51"/>
  <c r="H44" i="48"/>
  <c r="H43" i="48"/>
  <c r="F44" i="48"/>
  <c r="F43" i="48"/>
  <c r="D44" i="48"/>
  <c r="D43" i="48"/>
  <c r="G6" i="48"/>
  <c r="G5" i="48"/>
  <c r="H30" i="55" l="1"/>
  <c r="H29" i="55"/>
  <c r="H28" i="55"/>
  <c r="H27" i="55"/>
  <c r="H26" i="55"/>
  <c r="F30" i="55"/>
  <c r="F29" i="55"/>
  <c r="F28" i="55"/>
  <c r="F27" i="55"/>
  <c r="F26" i="55"/>
  <c r="D30" i="55"/>
  <c r="D28" i="55"/>
  <c r="D29" i="55"/>
  <c r="D27" i="55"/>
  <c r="D26" i="55"/>
  <c r="F10" i="55"/>
  <c r="F9" i="55"/>
  <c r="F8" i="55"/>
  <c r="F7" i="55"/>
  <c r="F6" i="55"/>
  <c r="F5" i="55"/>
  <c r="D10" i="55"/>
  <c r="D9" i="55"/>
  <c r="D8" i="55"/>
  <c r="D7" i="55"/>
  <c r="D6" i="55"/>
  <c r="D5" i="55"/>
  <c r="D20" i="26"/>
  <c r="D19" i="26"/>
  <c r="D18" i="26"/>
  <c r="D17" i="26"/>
  <c r="F10" i="26"/>
  <c r="F9" i="26"/>
  <c r="F8" i="26"/>
  <c r="F7" i="26"/>
  <c r="F6" i="26"/>
  <c r="F5" i="26"/>
  <c r="D10" i="26"/>
  <c r="D9" i="26"/>
  <c r="D8" i="26"/>
  <c r="D7" i="26"/>
  <c r="D6" i="26"/>
  <c r="D5" i="26"/>
  <c r="H9" i="26"/>
  <c r="H7" i="26"/>
  <c r="H5" i="26"/>
  <c r="D71" i="22" l="1"/>
  <c r="D70" i="22"/>
  <c r="D69" i="22"/>
  <c r="D68" i="22"/>
  <c r="D67" i="22"/>
  <c r="L38" i="22"/>
  <c r="L37" i="22"/>
  <c r="L36" i="22"/>
  <c r="H38" i="22"/>
  <c r="H37" i="22"/>
  <c r="H36" i="22"/>
  <c r="F38" i="22"/>
  <c r="F37" i="22"/>
  <c r="F36" i="22"/>
  <c r="D38" i="22"/>
  <c r="D37" i="22"/>
  <c r="D36" i="22"/>
  <c r="J7" i="22"/>
  <c r="J6" i="22"/>
  <c r="H9" i="22"/>
  <c r="H8" i="22"/>
  <c r="H7" i="22"/>
  <c r="H6" i="22"/>
  <c r="F9" i="22"/>
  <c r="F8" i="22"/>
  <c r="F7" i="22"/>
  <c r="F6" i="22"/>
  <c r="D9" i="22"/>
  <c r="D8" i="22"/>
  <c r="D7" i="22"/>
  <c r="D6" i="22"/>
  <c r="J21" i="38" l="1"/>
  <c r="J20" i="38"/>
  <c r="J19" i="38"/>
  <c r="J18" i="38"/>
  <c r="J17" i="38"/>
  <c r="J16" i="38"/>
  <c r="J15" i="38"/>
  <c r="J14" i="38"/>
  <c r="J13" i="38"/>
  <c r="G21" i="38"/>
  <c r="G20" i="38"/>
  <c r="G19" i="38"/>
  <c r="G18" i="38"/>
  <c r="G17" i="38"/>
  <c r="G16" i="38"/>
  <c r="G15" i="38"/>
  <c r="G14" i="38"/>
  <c r="G13" i="38"/>
  <c r="D21" i="38"/>
  <c r="D20" i="38"/>
  <c r="D19" i="38"/>
  <c r="D18" i="38"/>
  <c r="D17" i="38"/>
  <c r="D15" i="38"/>
  <c r="D14" i="38"/>
  <c r="D13" i="38"/>
  <c r="D9" i="99"/>
  <c r="D8" i="99"/>
  <c r="D7" i="99"/>
  <c r="D6" i="99"/>
  <c r="D5" i="99"/>
  <c r="G11" i="93" l="1"/>
  <c r="G8" i="14"/>
  <c r="G7" i="14"/>
  <c r="G6" i="14"/>
  <c r="G5" i="14"/>
  <c r="D47" i="20" l="1"/>
  <c r="D46" i="20"/>
  <c r="D45" i="20"/>
  <c r="D44" i="20"/>
  <c r="D43" i="20"/>
  <c r="D42" i="20"/>
  <c r="D14" i="20"/>
  <c r="D18" i="20"/>
  <c r="D5" i="20"/>
  <c r="D4" i="20"/>
  <c r="F13" i="96"/>
  <c r="F12" i="96"/>
  <c r="D13" i="96"/>
  <c r="D12" i="96"/>
  <c r="D7" i="96"/>
  <c r="D6" i="96"/>
  <c r="D5" i="96"/>
  <c r="D53" i="87" l="1"/>
  <c r="D52" i="87"/>
  <c r="D51" i="87"/>
  <c r="D50" i="87"/>
  <c r="D49" i="87"/>
  <c r="D48" i="87"/>
  <c r="D47" i="87"/>
  <c r="G12" i="87"/>
  <c r="H12" i="87" s="1"/>
  <c r="G11" i="87"/>
  <c r="H11" i="87" s="1"/>
  <c r="G10" i="87"/>
  <c r="H10" i="87" s="1"/>
  <c r="G9" i="87"/>
  <c r="H9" i="87" s="1"/>
  <c r="G8" i="87"/>
  <c r="H8" i="87" s="1"/>
  <c r="G7" i="87"/>
  <c r="H7" i="87" s="1"/>
  <c r="G6" i="87"/>
  <c r="H6" i="87" s="1"/>
  <c r="H18" i="10"/>
  <c r="G18" i="10"/>
  <c r="G17" i="10"/>
  <c r="H17" i="10" s="1"/>
  <c r="G16" i="10"/>
  <c r="H16" i="10" s="1"/>
  <c r="G6" i="93"/>
  <c r="H6" i="93" s="1"/>
  <c r="G7" i="93"/>
  <c r="H7" i="93" s="1"/>
  <c r="G8" i="93"/>
  <c r="H8" i="93" s="1"/>
  <c r="G9" i="93"/>
  <c r="H9" i="93" s="1"/>
  <c r="G10" i="93"/>
  <c r="H10" i="93" s="1"/>
  <c r="G5" i="93"/>
  <c r="H5" i="93" s="1"/>
  <c r="G5" i="85"/>
  <c r="H5" i="85" s="1"/>
  <c r="G4" i="85"/>
  <c r="H4" i="85" s="1"/>
  <c r="D7" i="78"/>
  <c r="D6" i="78"/>
  <c r="D4" i="78"/>
  <c r="D5" i="78"/>
  <c r="H6" i="55"/>
  <c r="H7" i="55"/>
  <c r="H8" i="55"/>
  <c r="H10" i="55"/>
  <c r="H9" i="55"/>
  <c r="H5" i="55"/>
  <c r="H6" i="48"/>
  <c r="H5" i="48"/>
  <c r="H6" i="26"/>
  <c r="H8" i="26"/>
  <c r="H10" i="26"/>
  <c r="L9" i="22"/>
  <c r="L6" i="22"/>
  <c r="L8" i="22"/>
  <c r="L7" i="22"/>
  <c r="D15" i="20"/>
  <c r="D16" i="20"/>
  <c r="D19" i="20"/>
  <c r="D20" i="20"/>
  <c r="D17" i="20"/>
  <c r="D7" i="20"/>
  <c r="D6" i="20"/>
  <c r="D9" i="20"/>
  <c r="D11" i="20"/>
  <c r="D13" i="20"/>
  <c r="D8" i="20"/>
  <c r="D12" i="20"/>
  <c r="D31" i="15"/>
  <c r="D30" i="15"/>
  <c r="D32" i="15"/>
  <c r="H8" i="14"/>
  <c r="H7" i="14"/>
  <c r="H5" i="14"/>
  <c r="H6" i="14"/>
  <c r="H6" i="13"/>
  <c r="H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tc={C47D47A0-41E4-4A02-8B66-CA066F009741}</author>
  </authors>
  <commentList>
    <comment ref="B16" authorId="0" shapeId="0" xr:uid="{C47D47A0-41E4-4A02-8B66-CA066F009741}">
      <text>
        <t>[Threaded comment]
Your version of Excel allows you to read this threaded comment; however, any edits to it will get removed if the file is opened in a newer version of Excel. Learn more: https://go.microsoft.com/fwlink/?linkid=870924
Comment:
    I have added the % - just calculated the % as it was missing -Rosemary if you were using other data tables etc please could you double check this
Reply:
    The %s were in the table I sent! I had amalgamated the ‘other’ %s (non-father/mother) to make a point about the total ‘others’, but it’s ok, we can leave it as is now.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tc={D5308490-FF9A-4CA7-A02A-044D3C12A805}</author>
  </authors>
  <commentList>
    <comment ref="B11" authorId="0" shapeId="0" xr:uid="{D5308490-FF9A-4CA7-A02A-044D3C12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numbers arent adding up - totals much higher than stated (336 vs 151 and 255 vs 147) which leads to the % being incorrect 
Reply:
    They don’t add up because there was more than one type of hearing in each case! The %s show the proportion of cases that had that type of hearing. But have added extra columns for number and % of hearings. Also found an error in the numbers in the table so have corrected that too!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tc={C60C3D89-B5DD-4EB3-91DF-16B568FFC670}</author>
  </authors>
  <commentList>
    <comment ref="B2" authorId="0" shapeId="0" xr:uid="{C60C3D89-B5DD-4EB3-91DF-16B568FFC670}">
      <text>
        <t>[Threaded comment]
Your version of Excel allows you to read this threaded comment; however, any edits to it will get removed if the file is opened in a newer version of Excel. Learn more: https://go.microsoft.com/fwlink/?linkid=870924
Comment:
    I think the 'went ahead' column is missing- so the data at the bottom of page 17 is incorrect
Reply:
    ‘Went ahead’ isn’t relevant in this context. The issue is whether a SS was ordered in considering or preparing for a FFH.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tc={BCDA09C6-AE76-41D4-9809-5848C4473D76}</author>
  </authors>
  <commentList>
    <comment ref="B2" authorId="0" shapeId="0" xr:uid="{BCDA09C6-AE76-41D4-9809-5848C4473D76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see page 25 para 2 - we've said 15 out of 32 cases involving FFH or final - i think this is more like 73, not 32 as stated?
Reply:
    It is 15 out of 32 cases with at least one LiP… This is the sum of Tables 19d and 24d. However I have also added rows to Tables 19b and 24b to clarify.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tc={E161A68D-B556-4AE4-A06C-325CEC1CB00D}</author>
  </authors>
  <commentList>
    <comment ref="B1" authorId="0" shapeId="0" xr:uid="{E161A68D-B556-4AE4-A06C-325CEC1CB00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have a table in the report (p45) with interim orders but we dont have these in the appendix?
Reply:
    Yes - they are at tab 26!</t>
      </text>
    </comment>
  </commentList>
</comments>
</file>

<file path=xl/sharedStrings.xml><?xml version="1.0" encoding="utf-8"?>
<sst xmlns="http://schemas.openxmlformats.org/spreadsheetml/2006/main" count="904" uniqueCount="474">
  <si>
    <t>1a. File sample by court and tier</t>
  </si>
  <si>
    <t>Court</t>
  </si>
  <si>
    <t>Tier</t>
  </si>
  <si>
    <t>All cases finalised  2023</t>
  </si>
  <si>
    <t>Sample n</t>
  </si>
  <si>
    <t>Sample %</t>
  </si>
  <si>
    <t>City</t>
  </si>
  <si>
    <t>Judges</t>
  </si>
  <si>
    <t>Magistrates</t>
  </si>
  <si>
    <t>Total</t>
  </si>
  <si>
    <t>Mixed</t>
  </si>
  <si>
    <t>Small towns/rural</t>
  </si>
  <si>
    <t>1b. Eligibility of cases in the file sample for the QLR scheme by court and hearing type</t>
  </si>
  <si>
    <t>Hearing type</t>
  </si>
  <si>
    <t>Eligible n</t>
  </si>
  <si>
    <t>Total n</t>
  </si>
  <si>
    <t>Eligible %</t>
  </si>
  <si>
    <t>All cases</t>
  </si>
  <si>
    <t>Evidence hearings</t>
  </si>
  <si>
    <t>2a. Number of children per case</t>
  </si>
  <si>
    <t>No</t>
  </si>
  <si>
    <t>%</t>
  </si>
  <si>
    <t>1 child</t>
  </si>
  <si>
    <t>2 children</t>
  </si>
  <si>
    <t>3 children</t>
  </si>
  <si>
    <t>4 children</t>
  </si>
  <si>
    <t>2b. Relationship of parties to children</t>
  </si>
  <si>
    <t>Party</t>
  </si>
  <si>
    <t>Applicant n</t>
  </si>
  <si>
    <t>Applicant %</t>
  </si>
  <si>
    <t>Respondent n</t>
  </si>
  <si>
    <t>Respondent %</t>
  </si>
  <si>
    <t>Mother</t>
  </si>
  <si>
    <t>Father</t>
  </si>
  <si>
    <t>Maternal GM</t>
  </si>
  <si>
    <t>Maternal GF</t>
  </si>
  <si>
    <t>Paternal GM</t>
  </si>
  <si>
    <t>Paternal GF</t>
  </si>
  <si>
    <t>Aunt</t>
  </si>
  <si>
    <t>Stepmother</t>
  </si>
  <si>
    <t>Other</t>
  </si>
  <si>
    <t>2c. Relationship of parties to children by tier</t>
  </si>
  <si>
    <t>Role</t>
  </si>
  <si>
    <t>Judges n</t>
  </si>
  <si>
    <t>Judges %</t>
  </si>
  <si>
    <t>Magistrates n</t>
  </si>
  <si>
    <t>Magistrates %</t>
  </si>
  <si>
    <t>1st Applicant</t>
  </si>
  <si>
    <t>1st Respondent</t>
  </si>
  <si>
    <t>Total  cases</t>
  </si>
  <si>
    <t>3. Parental ethnicity</t>
  </si>
  <si>
    <t>Mother n</t>
  </si>
  <si>
    <t>Mother %</t>
  </si>
  <si>
    <t>Father n</t>
  </si>
  <si>
    <t>Father %</t>
  </si>
  <si>
    <t>Freq.</t>
  </si>
  <si>
    <t>White British</t>
  </si>
  <si>
    <t>White Irish</t>
  </si>
  <si>
    <t>White Other</t>
  </si>
  <si>
    <t>Black - Caribbean</t>
  </si>
  <si>
    <t>Black - African</t>
  </si>
  <si>
    <t>Black - specific unknown</t>
  </si>
  <si>
    <t>Asian - Indian</t>
  </si>
  <si>
    <t>Asian - Pakistani</t>
  </si>
  <si>
    <t>Asian - Other Asian</t>
  </si>
  <si>
    <t>Mixed/multiple – white/black Caribbean</t>
  </si>
  <si>
    <t>Mixed/multiple – white/black African</t>
  </si>
  <si>
    <t>Mixed/multiple – white and Asian</t>
  </si>
  <si>
    <t>Mixed/multiple – specific unknown</t>
  </si>
  <si>
    <t>Mixed/multiple – Other ethnic group</t>
  </si>
  <si>
    <t>Unknown</t>
  </si>
  <si>
    <t>4. Parental health issues</t>
  </si>
  <si>
    <t>Mental health</t>
  </si>
  <si>
    <t xml:space="preserve">Social / behavioural </t>
  </si>
  <si>
    <t>Learning or understanding or concentrating</t>
  </si>
  <si>
    <t>Mobility</t>
  </si>
  <si>
    <t xml:space="preserve">Hearing </t>
  </si>
  <si>
    <t>Stamina / breathing / fatigue</t>
  </si>
  <si>
    <t>No evidence</t>
  </si>
  <si>
    <t>5a. Types of orders applied for</t>
  </si>
  <si>
    <t>% of cases</t>
  </si>
  <si>
    <t>Child arrangements order</t>
  </si>
  <si>
    <t>Prohibited steps order</t>
  </si>
  <si>
    <t>Specific Issue order</t>
  </si>
  <si>
    <t>Enforcement</t>
  </si>
  <si>
    <t>Mean number of orders applied for per case = 1.5</t>
  </si>
  <si>
    <t>5b. Number of orders applied for by tier</t>
  </si>
  <si>
    <t>Number</t>
  </si>
  <si>
    <t>Total %</t>
  </si>
  <si>
    <t>6a. Years in which cases commenced</t>
  </si>
  <si>
    <t>Year</t>
  </si>
  <si>
    <t>6b. Case duration in days by tier</t>
  </si>
  <si>
    <t>Minimum</t>
  </si>
  <si>
    <t>Median</t>
  </si>
  <si>
    <t>Mean</t>
  </si>
  <si>
    <t>Maximum</t>
  </si>
  <si>
    <t>6c. Case duration in days by presence of domestic abuse</t>
  </si>
  <si>
    <t>DA an issue</t>
  </si>
  <si>
    <t>No issue of DA</t>
  </si>
  <si>
    <t>7a. Does the file contain evidence of domestic abuse by tier?</t>
  </si>
  <si>
    <t>Evidence of DA</t>
  </si>
  <si>
    <t>No evidence of DA</t>
  </si>
  <si>
    <t>7b. Sources of evidence of domestic abuse</t>
  </si>
  <si>
    <t>Source</t>
  </si>
  <si>
    <t>C100</t>
  </si>
  <si>
    <t>C1A</t>
  </si>
  <si>
    <t>Safeguarding letter</t>
  </si>
  <si>
    <t>Mother's statement</t>
  </si>
  <si>
    <t>Father's statement</t>
  </si>
  <si>
    <t>Section 7 report</t>
  </si>
  <si>
    <t>Participation direction</t>
  </si>
  <si>
    <t>8a. Types of domestic abuse recorded in file by tier</t>
  </si>
  <si>
    <t>Type of abuse</t>
  </si>
  <si>
    <t>Psychological and emotional abuse</t>
  </si>
  <si>
    <t>Physical abuse</t>
  </si>
  <si>
    <t>Coercive and controlling behaviour</t>
  </si>
  <si>
    <t>Violent/threatening behaviour</t>
  </si>
  <si>
    <t>Economic/financial abuse</t>
  </si>
  <si>
    <t>Sexual abuse</t>
  </si>
  <si>
    <t>Other type of abuse</t>
  </si>
  <si>
    <t>Total cases</t>
  </si>
  <si>
    <t>8b. How many types of domestic abuse were recorded in the file?</t>
  </si>
  <si>
    <t xml:space="preserve">1 type </t>
  </si>
  <si>
    <t>2 types</t>
  </si>
  <si>
    <t>3 types</t>
  </si>
  <si>
    <t>4 types</t>
  </si>
  <si>
    <t>5 types</t>
  </si>
  <si>
    <t>6 types</t>
  </si>
  <si>
    <t>DA recorded but no type(s) specified</t>
  </si>
  <si>
    <t>Mean number of types of DA = 2.5, median = 2</t>
  </si>
  <si>
    <t>9a. Cross allegations of domestic abuse and parental alienation</t>
  </si>
  <si>
    <t>Allegation</t>
  </si>
  <si>
    <t>% all cases</t>
  </si>
  <si>
    <t>Cross-allegations of DA</t>
  </si>
  <si>
    <t>Parental alienation by mother</t>
  </si>
  <si>
    <t>Parental alienation by father</t>
  </si>
  <si>
    <t>9b. Allegations of PA by allegations of DA</t>
  </si>
  <si>
    <t>DA alleged n</t>
  </si>
  <si>
    <t>DA alleged %</t>
  </si>
  <si>
    <t>DA not alleged n</t>
  </si>
  <si>
    <t>DA not alleged %</t>
  </si>
  <si>
    <t>PA alleged</t>
  </si>
  <si>
    <t>PA not alleged</t>
  </si>
  <si>
    <t>10a. Cases reallocated during proceedings</t>
  </si>
  <si>
    <t>Level of judiciary</t>
  </si>
  <si>
    <t>Start of proceedings</t>
  </si>
  <si>
    <t>End of proceedings</t>
  </si>
  <si>
    <t>Change during proceedings</t>
  </si>
  <si>
    <t>Circuit judge</t>
  </si>
  <si>
    <t>+ 2</t>
  </si>
  <si>
    <t>District judge</t>
  </si>
  <si>
    <t>+ 16</t>
  </si>
  <si>
    <t>- 18</t>
  </si>
  <si>
    <t>10b. Reallocation by allegations of coercive and controlling behaviour</t>
  </si>
  <si>
    <t>CCB alleged n</t>
  </si>
  <si>
    <t>CCB alleged %</t>
  </si>
  <si>
    <t>CCB not alleged n</t>
  </si>
  <si>
    <t>CCB not alleged %</t>
  </si>
  <si>
    <t>Reallocated</t>
  </si>
  <si>
    <t>Not reallocated</t>
  </si>
  <si>
    <t>11a. MIAM exemptions claimed by tier</t>
  </si>
  <si>
    <t>Exemption</t>
  </si>
  <si>
    <t>Domestic abuse</t>
  </si>
  <si>
    <t>Urgency</t>
  </si>
  <si>
    <t>Previous MIAM attendance</t>
  </si>
  <si>
    <t>Child protection concerns</t>
  </si>
  <si>
    <t>Other exemption</t>
  </si>
  <si>
    <t>No exemption claimed</t>
  </si>
  <si>
    <t>11b. MIAM exemptions claimed by gender</t>
  </si>
  <si>
    <t>11c. MIAM attendance</t>
  </si>
  <si>
    <t>MIAM attendance</t>
  </si>
  <si>
    <t>No/ No evidence</t>
  </si>
  <si>
    <t>One party attended</t>
  </si>
  <si>
    <t>Both parties attended</t>
  </si>
  <si>
    <t>11d. Mediation attendance</t>
  </si>
  <si>
    <t>Evidence of mediation attendance</t>
  </si>
  <si>
    <t>No evidence of mediation attendance</t>
  </si>
  <si>
    <t>Issue</t>
  </si>
  <si>
    <t>Allegations of domestic abuse</t>
  </si>
  <si>
    <t>Domestic abuse perpetrated by father</t>
  </si>
  <si>
    <t>LA involvement</t>
  </si>
  <si>
    <t>Criminal record of father</t>
  </si>
  <si>
    <t>Substance misuse by father</t>
  </si>
  <si>
    <t>Mental health of father</t>
  </si>
  <si>
    <t>Substance misuse by mother</t>
  </si>
  <si>
    <t>Mental health of mother</t>
  </si>
  <si>
    <t>Domestic abuse perpetrated by both parties</t>
  </si>
  <si>
    <t>Child abuse perpetrated by mother</t>
  </si>
  <si>
    <t>Child abuse perpetrated by father</t>
  </si>
  <si>
    <t>Criminal record of mother</t>
  </si>
  <si>
    <t>Domestic abuse perpetrated by mother</t>
  </si>
  <si>
    <t>Alienating behaviour by mother</t>
  </si>
  <si>
    <t>Alienating behaviour by father</t>
  </si>
  <si>
    <t>Total safeguarding letters</t>
  </si>
  <si>
    <t>Unsupervised contact</t>
  </si>
  <si>
    <t>Supervised / supported contact</t>
  </si>
  <si>
    <t>No contact</t>
  </si>
  <si>
    <t>No recommendations relating to contact</t>
  </si>
  <si>
    <t>Further investigation of issues</t>
  </si>
  <si>
    <t>Consider fact-finding hearing</t>
  </si>
  <si>
    <t>No known LA involvement</t>
  </si>
  <si>
    <t>Current/previous child protection or child in need plan</t>
  </si>
  <si>
    <t>Direct involvement with private law case</t>
  </si>
  <si>
    <t>Criminal charges for Domestic Abuse</t>
  </si>
  <si>
    <t xml:space="preserve">Police Investigation NFA </t>
  </si>
  <si>
    <t>Family Law Act - NMO or OO</t>
  </si>
  <si>
    <t>Care/Supervision Order or other public proceedings</t>
  </si>
  <si>
    <t>Financial proceedings</t>
  </si>
  <si>
    <t>Previous child arrangement proceedings</t>
  </si>
  <si>
    <t>Yes</t>
  </si>
  <si>
    <t>Range</t>
  </si>
  <si>
    <t>0-14</t>
  </si>
  <si>
    <t>0-22</t>
  </si>
  <si>
    <t>FHDRA</t>
  </si>
  <si>
    <t>DRA</t>
  </si>
  <si>
    <t>Case management/directions</t>
  </si>
  <si>
    <t>Ground rules hearing</t>
  </si>
  <si>
    <t>Pre-hearing review</t>
  </si>
  <si>
    <t>Fact-finding hearing</t>
  </si>
  <si>
    <t>Final hearing</t>
  </si>
  <si>
    <t>Adjourned/vacated</t>
  </si>
  <si>
    <t>Mother Judges n</t>
  </si>
  <si>
    <t>Mother Judges %</t>
  </si>
  <si>
    <t>Mother Magistrates n</t>
  </si>
  <si>
    <t>Mother Magistrates %</t>
  </si>
  <si>
    <t>Mother Total n</t>
  </si>
  <si>
    <t>Mother Total %</t>
  </si>
  <si>
    <t>Father Judges n</t>
  </si>
  <si>
    <t>Father Judges %</t>
  </si>
  <si>
    <t>Father Magistrates n</t>
  </si>
  <si>
    <t>Father Magistrates %</t>
  </si>
  <si>
    <t>Father Total n</t>
  </si>
  <si>
    <t>Father Total %</t>
  </si>
  <si>
    <t>Legal representative</t>
  </si>
  <si>
    <t>McKenzie Friend</t>
  </si>
  <si>
    <t>Support Worker</t>
  </si>
  <si>
    <t>Interpreter</t>
  </si>
  <si>
    <t>Qualified Legal Representative</t>
  </si>
  <si>
    <t>Attended alone</t>
  </si>
  <si>
    <t>Did not attend</t>
  </si>
  <si>
    <t>Separate Entrance</t>
  </si>
  <si>
    <t>Separate waiting area</t>
  </si>
  <si>
    <t>Screens in Court</t>
  </si>
  <si>
    <t>Remote Attendance</t>
  </si>
  <si>
    <t>Don't know/no evidence</t>
  </si>
  <si>
    <t>Fully implemented</t>
  </si>
  <si>
    <t>Partially implemented</t>
  </si>
  <si>
    <t>Not implemented</t>
  </si>
  <si>
    <t>Don't know</t>
  </si>
  <si>
    <t>Considered but decided not to hold</t>
  </si>
  <si>
    <t xml:space="preserve">Scheduled </t>
  </si>
  <si>
    <t>Went ahead</t>
  </si>
  <si>
    <t>Mother legally represented</t>
  </si>
  <si>
    <t>Father legally represented</t>
  </si>
  <si>
    <t>QLR for father</t>
  </si>
  <si>
    <t>1 day</t>
  </si>
  <si>
    <t>2 days</t>
  </si>
  <si>
    <t>3 days</t>
  </si>
  <si>
    <t>4 days</t>
  </si>
  <si>
    <t>Missing</t>
  </si>
  <si>
    <t>Judge took over questioning</t>
  </si>
  <si>
    <t>FFH not scheduled</t>
  </si>
  <si>
    <t>FFH scheduled</t>
  </si>
  <si>
    <t xml:space="preserve">Scott Schedule/s alone </t>
  </si>
  <si>
    <t>Narrative Statement alone</t>
  </si>
  <si>
    <t>Both</t>
  </si>
  <si>
    <t>Neither</t>
  </si>
  <si>
    <t>Alone</t>
  </si>
  <si>
    <t>Combined with incidents</t>
  </si>
  <si>
    <t>Combined without incidents</t>
  </si>
  <si>
    <t>Incidents of domestic abuse</t>
  </si>
  <si>
    <t>Sample incidents</t>
  </si>
  <si>
    <t>Categories of domestic abuse</t>
  </si>
  <si>
    <t>Types of behaviour</t>
  </si>
  <si>
    <t>Combined</t>
  </si>
  <si>
    <t>Fully accepted</t>
  </si>
  <si>
    <t>Partially accepted</t>
  </si>
  <si>
    <t>Denied</t>
  </si>
  <si>
    <t>Excused</t>
  </si>
  <si>
    <t>Minimised</t>
  </si>
  <si>
    <t>Counter-allegations</t>
  </si>
  <si>
    <t>No response</t>
  </si>
  <si>
    <t>All allegations found</t>
  </si>
  <si>
    <t>Some allegations found</t>
  </si>
  <si>
    <t>No allegations found</t>
  </si>
  <si>
    <t>Live with mother</t>
  </si>
  <si>
    <t>Live with father</t>
  </si>
  <si>
    <t>No live with orders</t>
  </si>
  <si>
    <t>Unsupervised daytime progressing to overnight contact</t>
  </si>
  <si>
    <t>Unsupervised daytime contact</t>
  </si>
  <si>
    <t>Contact supervised by family member</t>
  </si>
  <si>
    <t>Supervised contact centre</t>
  </si>
  <si>
    <t>Indirect contact</t>
  </si>
  <si>
    <t>DAPP attendance</t>
  </si>
  <si>
    <t>Schedule of findings alone</t>
  </si>
  <si>
    <t>Judgment alone</t>
  </si>
  <si>
    <t xml:space="preserve">Total </t>
  </si>
  <si>
    <t>DA raised n</t>
  </si>
  <si>
    <t>DA raised %</t>
  </si>
  <si>
    <t>No DA raised n</t>
  </si>
  <si>
    <t>No DA raised %</t>
  </si>
  <si>
    <t>No/Don't know</t>
  </si>
  <si>
    <t>Written by Cafcass or Cafcass Cymru</t>
  </si>
  <si>
    <t>Written by Local Authority</t>
  </si>
  <si>
    <t>Written by Independent Social Worker</t>
  </si>
  <si>
    <t>All children consulted</t>
  </si>
  <si>
    <t>Some children consulted</t>
  </si>
  <si>
    <t>No children consulted</t>
  </si>
  <si>
    <t>As an allegation</t>
  </si>
  <si>
    <t>Admitted</t>
  </si>
  <si>
    <t>Established in fact-finding</t>
  </si>
  <si>
    <t>Not mentioned</t>
  </si>
  <si>
    <t>Supervised/supported</t>
  </si>
  <si>
    <t>Consider FFH</t>
  </si>
  <si>
    <t>Central</t>
  </si>
  <si>
    <t>Relevant</t>
  </si>
  <si>
    <t>Marginal</t>
  </si>
  <si>
    <t>Irrelevant/not mentioned</t>
  </si>
  <si>
    <t>% represented</t>
  </si>
  <si>
    <t>No cross-examination</t>
  </si>
  <si>
    <t>Magistrages %</t>
  </si>
  <si>
    <t>Judgment on file</t>
  </si>
  <si>
    <t>Judgment not on file/missing</t>
  </si>
  <si>
    <t>Partial</t>
  </si>
  <si>
    <t xml:space="preserve">Unknown </t>
  </si>
  <si>
    <t>&gt; 1</t>
  </si>
  <si>
    <t>mean</t>
  </si>
  <si>
    <t>median</t>
  </si>
  <si>
    <t>range</t>
  </si>
  <si>
    <t>0-10</t>
  </si>
  <si>
    <t>0-5</t>
  </si>
  <si>
    <t>Live with both parents</t>
  </si>
  <si>
    <t>Live with other</t>
  </si>
  <si>
    <t>No lives with order</t>
  </si>
  <si>
    <t>Unsupervised overnight</t>
  </si>
  <si>
    <t>Unsupervised daytime</t>
  </si>
  <si>
    <t>Supervised/supported - professional</t>
  </si>
  <si>
    <t>Supervised/supported - family/friend</t>
  </si>
  <si>
    <t>Progression of contact</t>
  </si>
  <si>
    <t>Indirect</t>
  </si>
  <si>
    <t>No time with order</t>
  </si>
  <si>
    <t>By consent</t>
  </si>
  <si>
    <t>Determined by court</t>
  </si>
  <si>
    <t>All</t>
  </si>
  <si>
    <t>Live with</t>
  </si>
  <si>
    <t>Time with</t>
  </si>
  <si>
    <t>Other child arrangements</t>
  </si>
  <si>
    <t>Unknown/no evidence of final order</t>
  </si>
  <si>
    <t>No live with order</t>
  </si>
  <si>
    <t>no DA n</t>
  </si>
  <si>
    <t>no DA %</t>
  </si>
  <si>
    <t>Physical abuse n</t>
  </si>
  <si>
    <t>Physical abuse %</t>
  </si>
  <si>
    <t>CCB n</t>
  </si>
  <si>
    <t>CCB %</t>
  </si>
  <si>
    <t>No DA n</t>
  </si>
  <si>
    <t>No DA %</t>
  </si>
  <si>
    <t>Orders / Recommendations</t>
  </si>
  <si>
    <t>Unsupervised n</t>
  </si>
  <si>
    <t>Unsupervised %</t>
  </si>
  <si>
    <t>Supervised / supported n</t>
  </si>
  <si>
    <t>Supervised / supported %</t>
  </si>
  <si>
    <t>No contact n</t>
  </si>
  <si>
    <t>No contact %</t>
  </si>
  <si>
    <t>Unsupervised daytime/overnight</t>
  </si>
  <si>
    <t>Indirect / no contact</t>
  </si>
  <si>
    <t>granted</t>
  </si>
  <si>
    <t>refused</t>
  </si>
  <si>
    <t>Applied for by mother</t>
  </si>
  <si>
    <t>Applied for my father</t>
  </si>
  <si>
    <t>Applied for by other</t>
  </si>
  <si>
    <t>Made of court's own motion</t>
  </si>
  <si>
    <t>Cases with DA n</t>
  </si>
  <si>
    <t>Cases with DA %</t>
  </si>
  <si>
    <t>Contact (e.g. assessment/early help) but below threshold, NFA</t>
  </si>
  <si>
    <t>Neither legally represented</t>
  </si>
  <si>
    <t>Both parties legally represented</t>
  </si>
  <si>
    <t>One party legally represented</t>
  </si>
  <si>
    <t>Both parties represented</t>
  </si>
  <si>
    <t>One party represented</t>
  </si>
  <si>
    <t>Neither party represented</t>
  </si>
  <si>
    <t>Total hearings</t>
  </si>
  <si>
    <t>Judges 
% cases</t>
  </si>
  <si>
    <t>Judges 
% hearings</t>
  </si>
  <si>
    <t>Magistrates 
% cases</t>
  </si>
  <si>
    <t>Magistrates
% hearings</t>
  </si>
  <si>
    <t>Total 
% cases</t>
  </si>
  <si>
    <t>Total
% hearings</t>
  </si>
  <si>
    <t>Total cases with domestic abuse</t>
  </si>
  <si>
    <t>Document</t>
  </si>
  <si>
    <t>C100 application</t>
  </si>
  <si>
    <t>C1A allegations of harm and DV</t>
  </si>
  <si>
    <t>C7 response to application</t>
  </si>
  <si>
    <t>C8 application to keep details confidential</t>
  </si>
  <si>
    <t>C2 application within proceedings</t>
  </si>
  <si>
    <t>C79 application for enforcement</t>
  </si>
  <si>
    <t>FM1 MIAM attendance or exemption</t>
  </si>
  <si>
    <t>Statement by mother</t>
  </si>
  <si>
    <t>Statement by father</t>
  </si>
  <si>
    <t>Statement by other</t>
  </si>
  <si>
    <t>12a  Documents filed in cases</t>
  </si>
  <si>
    <t>14. Evidence of Local Authority involvement by tier</t>
  </si>
  <si>
    <t>15. Evidence of other proceedings by tier</t>
  </si>
  <si>
    <t>16. Guardian appointment by tier</t>
  </si>
  <si>
    <t>17a. Number of hearings by tier</t>
  </si>
  <si>
    <t>17b. Types of hearings in each case by tier</t>
  </si>
  <si>
    <t>18. Evidence of attendance with parties by tier</t>
  </si>
  <si>
    <t>19c. Evidence of implementation of special measures by tier</t>
  </si>
  <si>
    <t>19b. Who requested special measures</t>
  </si>
  <si>
    <t>19a. Evidence of application for special measures by tier</t>
  </si>
  <si>
    <t>21d. Response to allegations in Scott Schedules by tier and single/multiple responses</t>
  </si>
  <si>
    <t>21c. Format of Scott Schedules by tier and single/multiple categories</t>
  </si>
  <si>
    <t>21b. Number of allegations in Scott Schedules by tier</t>
  </si>
  <si>
    <t>22c. Documentation of fact-finding hearings on file by tier</t>
  </si>
  <si>
    <t>22b. Findgings by orders made</t>
  </si>
  <si>
    <t>22a. Findings by tier</t>
  </si>
  <si>
    <t>23a. Case has section 7 report by tier and whether domestic abuse raised</t>
  </si>
  <si>
    <t>23b. Children consulted in s.7 reports by tier and whether domestic abuse raised</t>
  </si>
  <si>
    <t>23c. Domestic abuse raised in case and mentioned in s.7 report</t>
  </si>
  <si>
    <t>24a. Section 7 report recommendations</t>
  </si>
  <si>
    <t>24b. Where domestic abuse was raised, how important was it to the section 7 report recommendations?</t>
  </si>
  <si>
    <t>25e. Final judgment on file by tier</t>
  </si>
  <si>
    <t>25d. If no representation or QLR, how was cross-examination conducted?</t>
  </si>
  <si>
    <t>25c. Duration of final hearings by tier</t>
  </si>
  <si>
    <t>25b. Representation at final hearings</t>
  </si>
  <si>
    <t>25a. Cases where final heaing scheduled or held by tier</t>
  </si>
  <si>
    <t>26b. Judicial continuity by tier - cases with more than one hearing</t>
  </si>
  <si>
    <t>26a. Judicial continuity by tier - all cases</t>
  </si>
  <si>
    <t>27d. First interim order by consent or determined by court by tier</t>
  </si>
  <si>
    <t>27c. First interim 'time with' order by tier</t>
  </si>
  <si>
    <t>27b. First interim 'live with' order by tier</t>
  </si>
  <si>
    <t>27a. Number of interim orders by tier</t>
  </si>
  <si>
    <t>28g. Final 'time with' orders by section 7 recommendations</t>
  </si>
  <si>
    <t>28f. Final orders by consent or determined by court by tier and domestic abuse</t>
  </si>
  <si>
    <t>28e. Final 'time with' orders by domestic abuse</t>
  </si>
  <si>
    <t>28d. Final 'live with' orders by domestic abuse</t>
  </si>
  <si>
    <t>28c. Final 'time with' orders by tier</t>
  </si>
  <si>
    <t>28b. Final 'live with' orders by tier</t>
  </si>
  <si>
    <t>28a. Matters dealt with in final orders</t>
  </si>
  <si>
    <t>29. Section 91(14) orders by tier</t>
  </si>
  <si>
    <t>13a. Issues in safeguarding letters - all cases</t>
  </si>
  <si>
    <t>Total with domestic abuse flag</t>
  </si>
  <si>
    <t>13b. Recommendations in safeguarding letters - all cases and cases raising issues of domestic abuse</t>
  </si>
  <si>
    <t>Recommendations</t>
  </si>
  <si>
    <t>All cases n</t>
  </si>
  <si>
    <t>All cases %</t>
  </si>
  <si>
    <t>DA cases n</t>
  </si>
  <si>
    <t>DA cases %</t>
  </si>
  <si>
    <t>20a. Fact-finging hearing considered/scheduled/held by tier in domestic abuse cases</t>
  </si>
  <si>
    <t>Scheduled but didn't proceed</t>
  </si>
  <si>
    <t>Scheduled and went ahead</t>
  </si>
  <si>
    <t>21a. Scott Schedules and narrative statements on file in domestic abuse cases, by tier and whether FFH scheduled</t>
  </si>
  <si>
    <t>Total Scott Schedules = 24/59 (41%)</t>
  </si>
  <si>
    <t>Total narrative statements = 19/59 (32%)</t>
  </si>
  <si>
    <t>NA - one hearing or less</t>
  </si>
  <si>
    <t>20b. Fact-finding hearings by types of domestic abuse</t>
  </si>
  <si>
    <t>Considered n</t>
  </si>
  <si>
    <t>Considered %</t>
  </si>
  <si>
    <t>Scheduled n</t>
  </si>
  <si>
    <t>Scheduled %</t>
  </si>
  <si>
    <t>Proceeded n</t>
  </si>
  <si>
    <t>Proceeded %</t>
  </si>
  <si>
    <t>Physical / sexual abuse</t>
  </si>
  <si>
    <t>Economic abuse</t>
  </si>
  <si>
    <t>Psychological / emotional abuse</t>
  </si>
  <si>
    <t>Violent / threatening behaviour</t>
  </si>
  <si>
    <t>Duration</t>
  </si>
  <si>
    <t>Representation</t>
  </si>
  <si>
    <t>20c. Representation in fact-finding hearings</t>
  </si>
  <si>
    <t>20d. Duration of fact-finding hearings by tier</t>
  </si>
  <si>
    <t>20e. If no representation or QLR, how was cross-examination conducted?</t>
  </si>
  <si>
    <t>Parental conflict</t>
  </si>
  <si>
    <t>Total with a safeguarding letter</t>
  </si>
  <si>
    <t>13b. Domestic abuse and related issues in safeguarding letters - cases raising issues of domestic abuse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</si>
</sst>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color rgb="FF010205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 style="thin">
        <color indexed="64"/>
      </top>
      <bottom style="medium">
        <color rgb="FFAEAEAE"/>
      </bottom>
      <diagonal/>
    </border>
    <border>
      <left/>
      <right style="medium">
        <color rgb="FFE0E0E0"/>
      </right>
      <top style="medium">
        <color rgb="FFAEAEAE"/>
      </top>
      <bottom style="medium">
        <color rgb="FFAEAEA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E0E0E0"/>
      </left>
      <right style="medium">
        <color rgb="FFE0E0E0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 style="thin">
        <color indexed="64"/>
      </top>
      <bottom/>
      <diagonal/>
    </border>
    <border>
      <left/>
      <right style="medium">
        <color rgb="FFE0E0E0"/>
      </right>
      <top/>
      <bottom/>
      <diagonal/>
    </border>
    <border>
      <left/>
      <right style="medium">
        <color rgb="FFE0E0E0"/>
      </right>
      <top style="medium">
        <color rgb="FFAEAEA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8" xfId="0" applyFont="1" applyBorder="1"/>
    <xf numFmtId="164" fontId="2" fillId="0" borderId="1" xfId="0" applyNumberFormat="1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4" xfId="0" applyFont="1" applyBorder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9" fontId="2" fillId="0" borderId="1" xfId="1" applyFont="1" applyBorder="1"/>
    <xf numFmtId="9" fontId="2" fillId="0" borderId="8" xfId="0" applyNumberFormat="1" applyFont="1" applyBorder="1"/>
    <xf numFmtId="0" fontId="2" fillId="0" borderId="3" xfId="0" applyFont="1" applyBorder="1"/>
    <xf numFmtId="0" fontId="2" fillId="0" borderId="18" xfId="0" applyFont="1" applyBorder="1"/>
    <xf numFmtId="9" fontId="2" fillId="0" borderId="18" xfId="0" applyNumberFormat="1" applyFont="1" applyBorder="1"/>
    <xf numFmtId="9" fontId="2" fillId="0" borderId="9" xfId="0" applyNumberFormat="1" applyFont="1" applyBorder="1"/>
    <xf numFmtId="0" fontId="2" fillId="0" borderId="1" xfId="0" applyFont="1" applyBorder="1" applyAlignment="1">
      <alignment horizontal="right"/>
    </xf>
    <xf numFmtId="0" fontId="3" fillId="5" borderId="1" xfId="0" applyFont="1" applyFill="1" applyBorder="1"/>
    <xf numFmtId="0" fontId="3" fillId="0" borderId="1" xfId="0" applyFont="1" applyBorder="1"/>
    <xf numFmtId="9" fontId="3" fillId="0" borderId="1" xfId="0" applyNumberFormat="1" applyFont="1" applyBorder="1"/>
    <xf numFmtId="0" fontId="4" fillId="0" borderId="6" xfId="0" applyFont="1" applyBorder="1" applyAlignment="1">
      <alignment horizontal="right" vertical="center" wrapText="1"/>
    </xf>
    <xf numFmtId="9" fontId="4" fillId="0" borderId="1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9" fontId="4" fillId="0" borderId="7" xfId="0" applyNumberFormat="1" applyFont="1" applyBorder="1" applyAlignment="1">
      <alignment horizontal="right" vertical="center" wrapText="1"/>
    </xf>
    <xf numFmtId="9" fontId="2" fillId="0" borderId="1" xfId="1" applyFont="1" applyFill="1" applyBorder="1"/>
    <xf numFmtId="0" fontId="4" fillId="0" borderId="15" xfId="0" applyFont="1" applyBorder="1" applyAlignment="1">
      <alignment horizontal="right" vertical="center" wrapText="1"/>
    </xf>
    <xf numFmtId="9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9" fontId="4" fillId="0" borderId="17" xfId="0" applyNumberFormat="1" applyFont="1" applyBorder="1" applyAlignment="1">
      <alignment horizontal="right" vertical="center" wrapText="1"/>
    </xf>
    <xf numFmtId="9" fontId="2" fillId="0" borderId="8" xfId="1" applyFont="1" applyFill="1" applyBorder="1"/>
    <xf numFmtId="0" fontId="2" fillId="0" borderId="1" xfId="0" applyFont="1" applyBorder="1" applyAlignment="1">
      <alignment horizontal="left"/>
    </xf>
    <xf numFmtId="0" fontId="2" fillId="0" borderId="1" xfId="1" applyNumberFormat="1" applyFont="1" applyFill="1" applyBorder="1"/>
    <xf numFmtId="0" fontId="2" fillId="0" borderId="0" xfId="0" applyFont="1" applyAlignment="1">
      <alignment horizontal="center"/>
    </xf>
    <xf numFmtId="9" fontId="2" fillId="0" borderId="0" xfId="1" applyFont="1" applyFill="1" applyBorder="1"/>
    <xf numFmtId="0" fontId="3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10" fontId="2" fillId="0" borderId="0" xfId="0" applyNumberFormat="1" applyFont="1"/>
    <xf numFmtId="49" fontId="2" fillId="0" borderId="9" xfId="0" applyNumberFormat="1" applyFont="1" applyBorder="1" applyAlignment="1">
      <alignment horizontal="right"/>
    </xf>
    <xf numFmtId="9" fontId="2" fillId="0" borderId="0" xfId="0" applyNumberFormat="1" applyFont="1"/>
    <xf numFmtId="0" fontId="2" fillId="4" borderId="1" xfId="0" applyFont="1" applyFill="1" applyBorder="1"/>
    <xf numFmtId="0" fontId="3" fillId="7" borderId="1" xfId="0" applyFont="1" applyFill="1" applyBorder="1"/>
    <xf numFmtId="0" fontId="3" fillId="0" borderId="1" xfId="1" applyNumberFormat="1" applyFont="1" applyBorder="1"/>
    <xf numFmtId="0" fontId="3" fillId="0" borderId="1" xfId="1" applyNumberFormat="1" applyFont="1" applyFill="1" applyBorder="1"/>
    <xf numFmtId="0" fontId="3" fillId="0" borderId="0" xfId="0" applyFont="1"/>
    <xf numFmtId="0" fontId="2" fillId="12" borderId="1" xfId="0" applyFont="1" applyFill="1" applyBorder="1"/>
    <xf numFmtId="0" fontId="2" fillId="10" borderId="1" xfId="0" applyFont="1" applyFill="1" applyBorder="1"/>
    <xf numFmtId="0" fontId="2" fillId="1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14" borderId="1" xfId="0" applyFont="1" applyFill="1" applyBorder="1"/>
    <xf numFmtId="9" fontId="2" fillId="14" borderId="1" xfId="1" applyFont="1" applyFill="1" applyBorder="1"/>
    <xf numFmtId="9" fontId="2" fillId="10" borderId="1" xfId="1" applyFont="1" applyFill="1" applyBorder="1"/>
    <xf numFmtId="9" fontId="2" fillId="10" borderId="1" xfId="0" applyNumberFormat="1" applyFont="1" applyFill="1" applyBorder="1"/>
    <xf numFmtId="1" fontId="2" fillId="0" borderId="1" xfId="1" applyNumberFormat="1" applyFont="1" applyBorder="1"/>
    <xf numFmtId="0" fontId="3" fillId="6" borderId="1" xfId="0" applyFont="1" applyFill="1" applyBorder="1"/>
    <xf numFmtId="0" fontId="2" fillId="2" borderId="1" xfId="0" applyFont="1" applyFill="1" applyBorder="1"/>
    <xf numFmtId="0" fontId="2" fillId="0" borderId="19" xfId="0" applyFont="1" applyBorder="1"/>
    <xf numFmtId="0" fontId="3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1" xfId="1" applyNumberFormat="1" applyFont="1" applyBorder="1"/>
    <xf numFmtId="9" fontId="2" fillId="12" borderId="1" xfId="1" applyFont="1" applyFill="1" applyBorder="1"/>
    <xf numFmtId="9" fontId="2" fillId="0" borderId="8" xfId="1" applyFont="1" applyBorder="1"/>
    <xf numFmtId="9" fontId="2" fillId="0" borderId="11" xfId="1" applyFont="1" applyBorder="1"/>
    <xf numFmtId="9" fontId="2" fillId="0" borderId="11" xfId="0" applyNumberFormat="1" applyFont="1" applyBorder="1"/>
    <xf numFmtId="9" fontId="2" fillId="0" borderId="12" xfId="1" applyFont="1" applyBorder="1"/>
    <xf numFmtId="9" fontId="2" fillId="0" borderId="10" xfId="1" applyFont="1" applyBorder="1"/>
    <xf numFmtId="9" fontId="2" fillId="0" borderId="9" xfId="1" applyFont="1" applyBorder="1"/>
    <xf numFmtId="9" fontId="2" fillId="0" borderId="13" xfId="1" applyFont="1" applyBorder="1"/>
    <xf numFmtId="9" fontId="2" fillId="0" borderId="0" xfId="1" applyFont="1" applyBorder="1"/>
    <xf numFmtId="0" fontId="3" fillId="8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3" fillId="8" borderId="1" xfId="0" applyFont="1" applyFill="1" applyBorder="1"/>
    <xf numFmtId="9" fontId="3" fillId="8" borderId="1" xfId="1" applyFont="1" applyFill="1" applyBorder="1"/>
    <xf numFmtId="0" fontId="3" fillId="11" borderId="1" xfId="0" applyFont="1" applyFill="1" applyBorder="1"/>
    <xf numFmtId="9" fontId="3" fillId="11" borderId="1" xfId="0" applyNumberFormat="1" applyFont="1" applyFill="1" applyBorder="1"/>
    <xf numFmtId="0" fontId="3" fillId="10" borderId="1" xfId="1" applyNumberFormat="1" applyFont="1" applyFill="1" applyBorder="1"/>
    <xf numFmtId="9" fontId="3" fillId="10" borderId="1" xfId="0" applyNumberFormat="1" applyFont="1" applyFill="1" applyBorder="1"/>
    <xf numFmtId="0" fontId="3" fillId="10" borderId="1" xfId="0" applyFont="1" applyFill="1" applyBorder="1"/>
    <xf numFmtId="0" fontId="3" fillId="5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9" fontId="2" fillId="2" borderId="1" xfId="0" applyNumberFormat="1" applyFont="1" applyFill="1" applyBorder="1"/>
    <xf numFmtId="0" fontId="3" fillId="4" borderId="1" xfId="0" applyFont="1" applyFill="1" applyBorder="1"/>
    <xf numFmtId="0" fontId="3" fillId="5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9" fontId="3" fillId="12" borderId="1" xfId="0" applyNumberFormat="1" applyFont="1" applyFill="1" applyBorder="1"/>
    <xf numFmtId="0" fontId="3" fillId="12" borderId="1" xfId="0" applyFont="1" applyFill="1" applyBorder="1"/>
    <xf numFmtId="0" fontId="3" fillId="7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9" fontId="0" fillId="0" borderId="1" xfId="1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EEE9"/>
      <color rgb="FFE89743"/>
      <color rgb="FFDF6979"/>
      <color rgb="FF39B1A1"/>
      <color rgb="FFB84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US"/>
              <a:t>Eligibility</a:t>
            </a:r>
            <a:r>
              <a:rPr lang="en-US" baseline="0"/>
              <a:t> of cases for the QLR scheme by court and hearing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'1. File Sample'!$F$21</c:f>
              <c:strCache>
                <c:ptCount val="1"/>
                <c:pt idx="0">
                  <c:v>Eligible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multiLvlStrRef>
              <c:f>'1. File Sample'!$B$22:$C$29</c:f>
              <c:multiLvlStrCache>
                <c:ptCount val="8"/>
                <c:lvl>
                  <c:pt idx="0">
                    <c:v>All cases</c:v>
                  </c:pt>
                  <c:pt idx="1">
                    <c:v>Evidence hearings</c:v>
                  </c:pt>
                  <c:pt idx="2">
                    <c:v>All cases</c:v>
                  </c:pt>
                  <c:pt idx="3">
                    <c:v>Evidence hearings</c:v>
                  </c:pt>
                  <c:pt idx="4">
                    <c:v>All cases</c:v>
                  </c:pt>
                  <c:pt idx="5">
                    <c:v>Evidence hearings</c:v>
                  </c:pt>
                  <c:pt idx="6">
                    <c:v>All cases</c:v>
                  </c:pt>
                  <c:pt idx="7">
                    <c:v>Evidence hearings</c:v>
                  </c:pt>
                </c:lvl>
                <c:lvl>
                  <c:pt idx="0">
                    <c:v>City</c:v>
                  </c:pt>
                  <c:pt idx="2">
                    <c:v>Mixed</c:v>
                  </c:pt>
                  <c:pt idx="4">
                    <c:v>Small towns/rural</c:v>
                  </c:pt>
                  <c:pt idx="6">
                    <c:v>Total</c:v>
                  </c:pt>
                </c:lvl>
              </c:multiLvlStrCache>
            </c:multiLvlStrRef>
          </c:cat>
          <c:val>
            <c:numRef>
              <c:f>'1. File Sample'!$F$22:$F$29</c:f>
              <c:numCache>
                <c:formatCode>0%</c:formatCode>
                <c:ptCount val="8"/>
                <c:pt idx="0">
                  <c:v>0.75</c:v>
                </c:pt>
                <c:pt idx="1">
                  <c:v>0.45</c:v>
                </c:pt>
                <c:pt idx="2">
                  <c:v>0.67</c:v>
                </c:pt>
                <c:pt idx="3">
                  <c:v>0.27</c:v>
                </c:pt>
                <c:pt idx="4">
                  <c:v>0.68</c:v>
                </c:pt>
                <c:pt idx="5">
                  <c:v>0.41</c:v>
                </c:pt>
                <c:pt idx="6">
                  <c:v>0.7</c:v>
                </c:pt>
                <c:pt idx="7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3-4693-B8A7-53909F8B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747048"/>
        <c:axId val="794749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 File Sample'!$D$21</c15:sqref>
                        </c15:formulaRef>
                      </c:ext>
                    </c:extLst>
                    <c:strCache>
                      <c:ptCount val="1"/>
                      <c:pt idx="0">
                        <c:v>Eligible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'1. File Sample'!$B$22:$C$29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All cases</c:v>
                        </c:pt>
                        <c:pt idx="1">
                          <c:v>Evidence hearings</c:v>
                        </c:pt>
                        <c:pt idx="2">
                          <c:v>All cases</c:v>
                        </c:pt>
                        <c:pt idx="3">
                          <c:v>Evidence hearings</c:v>
                        </c:pt>
                        <c:pt idx="4">
                          <c:v>All cases</c:v>
                        </c:pt>
                        <c:pt idx="5">
                          <c:v>Evidence hearings</c:v>
                        </c:pt>
                        <c:pt idx="6">
                          <c:v>All cases</c:v>
                        </c:pt>
                        <c:pt idx="7">
                          <c:v>Evidence hearings</c:v>
                        </c:pt>
                      </c:lvl>
                      <c:lvl>
                        <c:pt idx="0">
                          <c:v>City</c:v>
                        </c:pt>
                        <c:pt idx="2">
                          <c:v>Mixed</c:v>
                        </c:pt>
                        <c:pt idx="4">
                          <c:v>Small towns/rural</c:v>
                        </c:pt>
                        <c:pt idx="6">
                          <c:v>Total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'1. File Sample'!$D$22:$D$29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75</c:v>
                      </c:pt>
                      <c:pt idx="1">
                        <c:v>5</c:v>
                      </c:pt>
                      <c:pt idx="2">
                        <c:v>66</c:v>
                      </c:pt>
                      <c:pt idx="3">
                        <c:v>7</c:v>
                      </c:pt>
                      <c:pt idx="4">
                        <c:v>67</c:v>
                      </c:pt>
                      <c:pt idx="5">
                        <c:v>7</c:v>
                      </c:pt>
                      <c:pt idx="6">
                        <c:v>208</c:v>
                      </c:pt>
                      <c:pt idx="7">
                        <c:v>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AD3-4693-B8A7-53909F8BA08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 File Sample'!$E$21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 File Sample'!$B$22:$C$29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All cases</c:v>
                        </c:pt>
                        <c:pt idx="1">
                          <c:v>Evidence hearings</c:v>
                        </c:pt>
                        <c:pt idx="2">
                          <c:v>All cases</c:v>
                        </c:pt>
                        <c:pt idx="3">
                          <c:v>Evidence hearings</c:v>
                        </c:pt>
                        <c:pt idx="4">
                          <c:v>All cases</c:v>
                        </c:pt>
                        <c:pt idx="5">
                          <c:v>Evidence hearings</c:v>
                        </c:pt>
                        <c:pt idx="6">
                          <c:v>All cases</c:v>
                        </c:pt>
                        <c:pt idx="7">
                          <c:v>Evidence hearings</c:v>
                        </c:pt>
                      </c:lvl>
                      <c:lvl>
                        <c:pt idx="0">
                          <c:v>City</c:v>
                        </c:pt>
                        <c:pt idx="2">
                          <c:v>Mixed</c:v>
                        </c:pt>
                        <c:pt idx="4">
                          <c:v>Small towns/rural</c:v>
                        </c:pt>
                        <c:pt idx="6">
                          <c:v>Total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 File Sample'!$E$22:$E$29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</c:v>
                      </c:pt>
                      <c:pt idx="1">
                        <c:v>11</c:v>
                      </c:pt>
                      <c:pt idx="2">
                        <c:v>99</c:v>
                      </c:pt>
                      <c:pt idx="3">
                        <c:v>26</c:v>
                      </c:pt>
                      <c:pt idx="4">
                        <c:v>99</c:v>
                      </c:pt>
                      <c:pt idx="5">
                        <c:v>17</c:v>
                      </c:pt>
                      <c:pt idx="6">
                        <c:v>298</c:v>
                      </c:pt>
                      <c:pt idx="7">
                        <c:v>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AD3-4693-B8A7-53909F8BA08A}"/>
                  </c:ext>
                </c:extLst>
              </c15:ser>
            </c15:filteredBarSeries>
          </c:ext>
        </c:extLst>
      </c:barChart>
      <c:catAx>
        <c:axId val="79474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794749928"/>
        <c:crosses val="autoZero"/>
        <c:auto val="1"/>
        <c:lblAlgn val="ctr"/>
        <c:lblOffset val="100"/>
        <c:noMultiLvlLbl val="0"/>
      </c:catAx>
      <c:valAx>
        <c:axId val="79474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79474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US"/>
              <a:t>Issues in safeguarding letters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'13. Safeguarding letters'!$D$3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'13. Safeguarding letters'!$B$4:$B$20</c:f>
              <c:strCache>
                <c:ptCount val="17"/>
                <c:pt idx="0">
                  <c:v>Allegations of domestic abuse</c:v>
                </c:pt>
                <c:pt idx="1">
                  <c:v>Domestic abuse perpetrated by father</c:v>
                </c:pt>
                <c:pt idx="2">
                  <c:v>LA involvement</c:v>
                </c:pt>
                <c:pt idx="3">
                  <c:v>Criminal record of father</c:v>
                </c:pt>
                <c:pt idx="4">
                  <c:v>Substance misuse by father</c:v>
                </c:pt>
                <c:pt idx="5">
                  <c:v>Other</c:v>
                </c:pt>
                <c:pt idx="6">
                  <c:v>Parental conflict</c:v>
                </c:pt>
                <c:pt idx="7">
                  <c:v>Mental health of father</c:v>
                </c:pt>
                <c:pt idx="8">
                  <c:v>Substance misuse by mother</c:v>
                </c:pt>
                <c:pt idx="9">
                  <c:v>Mental health of mother</c:v>
                </c:pt>
                <c:pt idx="10">
                  <c:v>Domestic abuse perpetrated by both parties</c:v>
                </c:pt>
                <c:pt idx="11">
                  <c:v>Child abuse perpetrated by mother</c:v>
                </c:pt>
                <c:pt idx="12">
                  <c:v>Child abuse perpetrated by father</c:v>
                </c:pt>
                <c:pt idx="13">
                  <c:v>Criminal record of mother</c:v>
                </c:pt>
                <c:pt idx="14">
                  <c:v>Domestic abuse perpetrated by mother</c:v>
                </c:pt>
                <c:pt idx="15">
                  <c:v>Alienating behaviour by mother</c:v>
                </c:pt>
                <c:pt idx="16">
                  <c:v>Alienating behaviour by father</c:v>
                </c:pt>
              </c:strCache>
            </c:strRef>
          </c:cat>
          <c:val>
            <c:numRef>
              <c:f>'13. Safeguarding letters'!$D$4:$D$20</c:f>
              <c:numCache>
                <c:formatCode>0%</c:formatCode>
                <c:ptCount val="17"/>
                <c:pt idx="0">
                  <c:v>0.72664359861591699</c:v>
                </c:pt>
                <c:pt idx="1">
                  <c:v>0.38408304498269896</c:v>
                </c:pt>
                <c:pt idx="2">
                  <c:v>0.37370242214532873</c:v>
                </c:pt>
                <c:pt idx="3">
                  <c:v>0.30795847750865052</c:v>
                </c:pt>
                <c:pt idx="4">
                  <c:v>0.29757785467128028</c:v>
                </c:pt>
                <c:pt idx="5">
                  <c:v>0.24567474048442905</c:v>
                </c:pt>
                <c:pt idx="6">
                  <c:v>0.18339100346020762</c:v>
                </c:pt>
                <c:pt idx="7">
                  <c:v>0.14878892733564014</c:v>
                </c:pt>
                <c:pt idx="8">
                  <c:v>0.1453287197231834</c:v>
                </c:pt>
                <c:pt idx="9">
                  <c:v>0.14186851211072665</c:v>
                </c:pt>
                <c:pt idx="10">
                  <c:v>0.13840830449826991</c:v>
                </c:pt>
                <c:pt idx="11">
                  <c:v>0.10726643598615918</c:v>
                </c:pt>
                <c:pt idx="12">
                  <c:v>9.6885813148788927E-2</c:v>
                </c:pt>
                <c:pt idx="13">
                  <c:v>8.3044982698961933E-2</c:v>
                </c:pt>
                <c:pt idx="14">
                  <c:v>5.1903114186851208E-2</c:v>
                </c:pt>
                <c:pt idx="15">
                  <c:v>4.4982698961937718E-2</c:v>
                </c:pt>
                <c:pt idx="16">
                  <c:v>1.7301038062283738E-2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77-493F-B1A7-AD8C1705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9603376"/>
        <c:axId val="479595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'13. Safeguarding letters'!$C$3</c15:sqref>
                        </c15:formulaRef>
                      </c:ext>
                    </c:extLst>
                    <c:strCache>
                      <c:ptCount val="1"/>
                      <c:pt idx="0">
                        <c:v>Number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'13. Safeguarding letters'!$B$4:$B$20</c15:sqref>
                        </c15:formulaRef>
                      </c:ext>
                    </c:extLst>
                    <c:strCache>
                      <c:ptCount val="17"/>
                      <c:pt idx="0">
                        <c:v>Allegations of domestic abuse</c:v>
                      </c:pt>
                      <c:pt idx="1">
                        <c:v>Domestic abuse perpetrated by father</c:v>
                      </c:pt>
                      <c:pt idx="2">
                        <c:v>LA involvement</c:v>
                      </c:pt>
                      <c:pt idx="3">
                        <c:v>Criminal record of father</c:v>
                      </c:pt>
                      <c:pt idx="4">
                        <c:v>Substance misuse by father</c:v>
                      </c:pt>
                      <c:pt idx="5">
                        <c:v>Other</c:v>
                      </c:pt>
                      <c:pt idx="6">
                        <c:v>Parental conflict</c:v>
                      </c:pt>
                      <c:pt idx="7">
                        <c:v>Mental health of father</c:v>
                      </c:pt>
                      <c:pt idx="8">
                        <c:v>Substance misuse by mother</c:v>
                      </c:pt>
                      <c:pt idx="9">
                        <c:v>Mental health of mother</c:v>
                      </c:pt>
                      <c:pt idx="10">
                        <c:v>Domestic abuse perpetrated by both parties</c:v>
                      </c:pt>
                      <c:pt idx="11">
                        <c:v>Child abuse perpetrated by mother</c:v>
                      </c:pt>
                      <c:pt idx="12">
                        <c:v>Child abuse perpetrated by father</c:v>
                      </c:pt>
                      <c:pt idx="13">
                        <c:v>Criminal record of mother</c:v>
                      </c:pt>
                      <c:pt idx="14">
                        <c:v>Domestic abuse perpetrated by mother</c:v>
                      </c:pt>
                      <c:pt idx="15">
                        <c:v>Alienating behaviour by mother</c:v>
                      </c:pt>
                      <c:pt idx="16">
                        <c:v>Alienating behaviour by father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'13. Safeguarding letters'!$C$4:$C$20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210</c:v>
                      </c:pt>
                      <c:pt idx="1">
                        <c:v>111</c:v>
                      </c:pt>
                      <c:pt idx="2">
                        <c:v>108</c:v>
                      </c:pt>
                      <c:pt idx="3">
                        <c:v>89</c:v>
                      </c:pt>
                      <c:pt idx="4">
                        <c:v>86</c:v>
                      </c:pt>
                      <c:pt idx="5">
                        <c:v>71</c:v>
                      </c:pt>
                      <c:pt idx="6">
                        <c:v>53</c:v>
                      </c:pt>
                      <c:pt idx="7">
                        <c:v>43</c:v>
                      </c:pt>
                      <c:pt idx="8">
                        <c:v>42</c:v>
                      </c:pt>
                      <c:pt idx="9">
                        <c:v>41</c:v>
                      </c:pt>
                      <c:pt idx="10">
                        <c:v>40</c:v>
                      </c:pt>
                      <c:pt idx="11">
                        <c:v>31</c:v>
                      </c:pt>
                      <c:pt idx="12">
                        <c:v>28</c:v>
                      </c:pt>
                      <c:pt idx="13">
                        <c:v>24</c:v>
                      </c:pt>
                      <c:pt idx="14">
                        <c:v>15</c:v>
                      </c:pt>
                      <c:pt idx="15">
                        <c:v>13</c:v>
                      </c:pt>
                      <c:pt idx="1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77-493F-B1A7-AD8C1705F1AC}"/>
                  </c:ext>
                </c:extLst>
              </c15:ser>
            </c15:filteredBarSeries>
          </c:ext>
        </c:extLst>
      </c:barChart>
      <c:catAx>
        <c:axId val="47960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479595816"/>
        <c:crosses val="autoZero"/>
        <c:auto val="1"/>
        <c:lblAlgn val="ctr"/>
        <c:lblOffset val="100"/>
        <c:noMultiLvlLbl val="0"/>
      </c:catAx>
      <c:valAx>
        <c:axId val="4795958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60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>
                <a:latin typeface="Poppins" panose="00000500000000000000" pitchFamily="2" charset="0"/>
                <a:cs typeface="Poppins" panose="00000500000000000000" pitchFamily="2" charset="0"/>
              </a:rPr>
              <a:t>% of cases with evidence of LA involvement by Court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'14. LA involvement'!$D$4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'14. LA involvement'!$B$5:$B$8</c:f>
              <c:strCache>
                <c:ptCount val="4"/>
                <c:pt idx="0">
                  <c:v>No known LA involvement</c:v>
                </c:pt>
                <c:pt idx="1">
                  <c:v>Contact (e.g. assessment/early help) but below threshold, NFA</c:v>
                </c:pt>
                <c:pt idx="2">
                  <c:v>Current/previous child protection or child in need plan</c:v>
                </c:pt>
                <c:pt idx="3">
                  <c:v>Direct involvement with private law case</c:v>
                </c:pt>
              </c:strCache>
            </c:strRef>
          </c:cat>
          <c:val>
            <c:numRef>
              <c:f>'14. LA involvement'!$D$5:$D$8</c:f>
              <c:numCache>
                <c:formatCode>0%</c:formatCode>
                <c:ptCount val="4"/>
                <c:pt idx="0">
                  <c:v>0.4</c:v>
                </c:pt>
                <c:pt idx="1">
                  <c:v>0.17</c:v>
                </c:pt>
                <c:pt idx="2">
                  <c:v>0.25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D-4317-8990-6CDD4FC68C0B}"/>
            </c:ext>
          </c:extLst>
        </c:ser>
        <c:ser>
          <c:idx val="3"/>
          <c:order val="3"/>
          <c:tx>
            <c:strRef>
              <c:f>'14. LA involvement'!$F$4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f>'14. LA involvement'!$B$5:$B$8</c:f>
              <c:strCache>
                <c:ptCount val="4"/>
                <c:pt idx="0">
                  <c:v>No known LA involvement</c:v>
                </c:pt>
                <c:pt idx="1">
                  <c:v>Contact (e.g. assessment/early help) but below threshold, NFA</c:v>
                </c:pt>
                <c:pt idx="2">
                  <c:v>Current/previous child protection or child in need plan</c:v>
                </c:pt>
                <c:pt idx="3">
                  <c:v>Direct involvement with private law case</c:v>
                </c:pt>
              </c:strCache>
            </c:strRef>
          </c:cat>
          <c:val>
            <c:numRef>
              <c:f>'14. LA involvement'!$F$5:$F$8</c:f>
              <c:numCache>
                <c:formatCode>0%</c:formatCode>
                <c:ptCount val="4"/>
                <c:pt idx="0">
                  <c:v>0.56000000000000005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D-4317-8990-6CDD4FC6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151824"/>
        <c:axId val="572152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'14. LA involvement'!$C$4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'14. LA involvement'!$B$5:$B$8</c15:sqref>
                        </c15:formulaRef>
                      </c:ext>
                    </c:extLst>
                    <c:strCache>
                      <c:ptCount val="4"/>
                      <c:pt idx="0">
                        <c:v>No known LA involvement</c:v>
                      </c:pt>
                      <c:pt idx="1">
                        <c:v>Contact (e.g. assessment/early help) but below threshold, NFA</c:v>
                      </c:pt>
                      <c:pt idx="2">
                        <c:v>Current/previous child protection or child in need plan</c:v>
                      </c:pt>
                      <c:pt idx="3">
                        <c:v>Direct involvement with private law case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'14. LA involvement'!$C$5:$C$8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61</c:v>
                      </c:pt>
                      <c:pt idx="1">
                        <c:v>25</c:v>
                      </c:pt>
                      <c:pt idx="2">
                        <c:v>38</c:v>
                      </c:pt>
                      <c:pt idx="3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75D-4317-8990-6CDD4FC68C0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'14. LA involvement'!$E$4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'14. LA involvement'!$B$5:$B$8</c15:sqref>
                        </c15:formulaRef>
                      </c:ext>
                    </c:extLst>
                    <c:strCache>
                      <c:ptCount val="4"/>
                      <c:pt idx="0">
                        <c:v>No known LA involvement</c:v>
                      </c:pt>
                      <c:pt idx="1">
                        <c:v>Contact (e.g. assessment/early help) but below threshold, NFA</c:v>
                      </c:pt>
                      <c:pt idx="2">
                        <c:v>Current/previous child protection or child in need plan</c:v>
                      </c:pt>
                      <c:pt idx="3">
                        <c:v>Direct involvement with private law case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'14. LA involvement'!$E$5:$E$8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83</c:v>
                      </c:pt>
                      <c:pt idx="1">
                        <c:v>26</c:v>
                      </c:pt>
                      <c:pt idx="2">
                        <c:v>20</c:v>
                      </c:pt>
                      <c:pt idx="3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75D-4317-8990-6CDD4FC68C0B}"/>
                  </c:ext>
                </c:extLst>
              </c15:ser>
            </c15:filteredBarSeries>
          </c:ext>
        </c:extLst>
      </c:barChart>
      <c:catAx>
        <c:axId val="57215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572152544"/>
        <c:crosses val="autoZero"/>
        <c:auto val="1"/>
        <c:lblAlgn val="ctr"/>
        <c:lblOffset val="100"/>
        <c:noMultiLvlLbl val="0"/>
      </c:catAx>
      <c:valAx>
        <c:axId val="5721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57215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Evidence of other proceedings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'15. Other proceedings'!$D$4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'15. Other proceedings'!$B$5:$B$10</c:f>
              <c:strCache>
                <c:ptCount val="6"/>
                <c:pt idx="0">
                  <c:v>Criminal charges for Domestic Abuse</c:v>
                </c:pt>
                <c:pt idx="1">
                  <c:v>Police Investigation NFA </c:v>
                </c:pt>
                <c:pt idx="2">
                  <c:v>Family Law Act - NMO or OO</c:v>
                </c:pt>
                <c:pt idx="3">
                  <c:v>Care/Supervision Order or other public proceedings</c:v>
                </c:pt>
                <c:pt idx="4">
                  <c:v>Financial proceedings</c:v>
                </c:pt>
                <c:pt idx="5">
                  <c:v>Previous child arrangement proceedings</c:v>
                </c:pt>
              </c:strCache>
            </c:strRef>
          </c:cat>
          <c:val>
            <c:numRef>
              <c:f>'15. Other proceedings'!$D$5:$D$10</c:f>
              <c:numCache>
                <c:formatCode>0%</c:formatCode>
                <c:ptCount val="6"/>
                <c:pt idx="0">
                  <c:v>0.08</c:v>
                </c:pt>
                <c:pt idx="1">
                  <c:v>0.36</c:v>
                </c:pt>
                <c:pt idx="2">
                  <c:v>0.16</c:v>
                </c:pt>
                <c:pt idx="3">
                  <c:v>7.0000000000000007E-2</c:v>
                </c:pt>
                <c:pt idx="4">
                  <c:v>0.03</c:v>
                </c:pt>
                <c:pt idx="5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E-4E3E-9A7C-33B0E2A9786A}"/>
            </c:ext>
          </c:extLst>
        </c:ser>
        <c:ser>
          <c:idx val="3"/>
          <c:order val="3"/>
          <c:tx>
            <c:strRef>
              <c:f>'15. Other proceedings'!$F$4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f>'15. Other proceedings'!$B$5:$B$10</c:f>
              <c:strCache>
                <c:ptCount val="6"/>
                <c:pt idx="0">
                  <c:v>Criminal charges for Domestic Abuse</c:v>
                </c:pt>
                <c:pt idx="1">
                  <c:v>Police Investigation NFA </c:v>
                </c:pt>
                <c:pt idx="2">
                  <c:v>Family Law Act - NMO or OO</c:v>
                </c:pt>
                <c:pt idx="3">
                  <c:v>Care/Supervision Order or other public proceedings</c:v>
                </c:pt>
                <c:pt idx="4">
                  <c:v>Financial proceedings</c:v>
                </c:pt>
                <c:pt idx="5">
                  <c:v>Previous child arrangement proceedings</c:v>
                </c:pt>
              </c:strCache>
            </c:strRef>
          </c:cat>
          <c:val>
            <c:numRef>
              <c:f>'15. Other proceedings'!$F$5:$F$10</c:f>
              <c:numCache>
                <c:formatCode>0%</c:formatCode>
                <c:ptCount val="6"/>
                <c:pt idx="0">
                  <c:v>0.1</c:v>
                </c:pt>
                <c:pt idx="1">
                  <c:v>0.26</c:v>
                </c:pt>
                <c:pt idx="2">
                  <c:v>0.11</c:v>
                </c:pt>
                <c:pt idx="3">
                  <c:v>0.04</c:v>
                </c:pt>
                <c:pt idx="4">
                  <c:v>0</c:v>
                </c:pt>
                <c:pt idx="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E-4E3E-9A7C-33B0E2A9786A}"/>
            </c:ext>
          </c:extLst>
        </c:ser>
        <c:ser>
          <c:idx val="5"/>
          <c:order val="5"/>
          <c:tx>
            <c:strRef>
              <c:f>'15. Other proceedings'!$H$4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f>'15. Other proceedings'!$B$5:$B$10</c:f>
              <c:strCache>
                <c:ptCount val="6"/>
                <c:pt idx="0">
                  <c:v>Criminal charges for Domestic Abuse</c:v>
                </c:pt>
                <c:pt idx="1">
                  <c:v>Police Investigation NFA </c:v>
                </c:pt>
                <c:pt idx="2">
                  <c:v>Family Law Act - NMO or OO</c:v>
                </c:pt>
                <c:pt idx="3">
                  <c:v>Care/Supervision Order or other public proceedings</c:v>
                </c:pt>
                <c:pt idx="4">
                  <c:v>Financial proceedings</c:v>
                </c:pt>
                <c:pt idx="5">
                  <c:v>Previous child arrangement proceedings</c:v>
                </c:pt>
              </c:strCache>
            </c:strRef>
          </c:cat>
          <c:val>
            <c:numRef>
              <c:f>'15. Other proceedings'!$H$5:$H$10</c:f>
              <c:numCache>
                <c:formatCode>0%</c:formatCode>
                <c:ptCount val="6"/>
                <c:pt idx="0">
                  <c:v>9.0604026845637578E-2</c:v>
                </c:pt>
                <c:pt idx="1">
                  <c:v>0.3087248322147651</c:v>
                </c:pt>
                <c:pt idx="2">
                  <c:v>0.13422818791946309</c:v>
                </c:pt>
                <c:pt idx="3">
                  <c:v>5.3691275167785234E-2</c:v>
                </c:pt>
                <c:pt idx="4">
                  <c:v>1.3422818791946308E-2</c:v>
                </c:pt>
                <c:pt idx="5">
                  <c:v>0.31208053691275167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E-4096-9E91-D4712C27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5464176"/>
        <c:axId val="865465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'15. Other proceedings'!$C$4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'15. Other proceedings'!$B$5:$B$10</c15:sqref>
                        </c15:formulaRef>
                      </c:ext>
                    </c:extLst>
                    <c:strCache>
                      <c:ptCount val="6"/>
                      <c:pt idx="0">
                        <c:v>Criminal charges for Domestic Abuse</c:v>
                      </c:pt>
                      <c:pt idx="1">
                        <c:v>Police Investigation NFA </c:v>
                      </c:pt>
                      <c:pt idx="2">
                        <c:v>Family Law Act - NMO or OO</c:v>
                      </c:pt>
                      <c:pt idx="3">
                        <c:v>Care/Supervision Order or other public proceedings</c:v>
                      </c:pt>
                      <c:pt idx="4">
                        <c:v>Financial proceedings</c:v>
                      </c:pt>
                      <c:pt idx="5">
                        <c:v>Previous child arrangement proceedings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'15. Other proceedings'!$C$5:$C$10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12</c:v>
                      </c:pt>
                      <c:pt idx="1">
                        <c:v>54</c:v>
                      </c:pt>
                      <c:pt idx="2">
                        <c:v>24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7FE-4E3E-9A7C-33B0E2A9786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proceedings'!$E$4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proceedings'!$B$5:$B$10</c15:sqref>
                        </c15:formulaRef>
                      </c:ext>
                    </c:extLst>
                    <c:strCache>
                      <c:ptCount val="6"/>
                      <c:pt idx="0">
                        <c:v>Criminal charges for Domestic Abuse</c:v>
                      </c:pt>
                      <c:pt idx="1">
                        <c:v>Police Investigation NFA </c:v>
                      </c:pt>
                      <c:pt idx="2">
                        <c:v>Family Law Act - NMO or OO</c:v>
                      </c:pt>
                      <c:pt idx="3">
                        <c:v>Care/Supervision Order or other public proceedings</c:v>
                      </c:pt>
                      <c:pt idx="4">
                        <c:v>Financial proceedings</c:v>
                      </c:pt>
                      <c:pt idx="5">
                        <c:v>Previous child arrangement proceedings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proceedings'!$E$5:$E$10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15</c:v>
                      </c:pt>
                      <c:pt idx="1">
                        <c:v>38</c:v>
                      </c:pt>
                      <c:pt idx="2">
                        <c:v>16</c:v>
                      </c:pt>
                      <c:pt idx="3">
                        <c:v>6</c:v>
                      </c:pt>
                      <c:pt idx="4">
                        <c:v>0</c:v>
                      </c:pt>
                      <c:pt idx="5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7FE-4E3E-9A7C-33B0E2A9786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proceedings'!$G$4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proceedings'!$B$5:$B$10</c15:sqref>
                        </c15:formulaRef>
                      </c:ext>
                    </c:extLst>
                    <c:strCache>
                      <c:ptCount val="6"/>
                      <c:pt idx="0">
                        <c:v>Criminal charges for Domestic Abuse</c:v>
                      </c:pt>
                      <c:pt idx="1">
                        <c:v>Police Investigation NFA </c:v>
                      </c:pt>
                      <c:pt idx="2">
                        <c:v>Family Law Act - NMO or OO</c:v>
                      </c:pt>
                      <c:pt idx="3">
                        <c:v>Care/Supervision Order or other public proceedings</c:v>
                      </c:pt>
                      <c:pt idx="4">
                        <c:v>Financial proceedings</c:v>
                      </c:pt>
                      <c:pt idx="5">
                        <c:v>Previous child arrangement proceedings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'15. Other proceedings'!$G$5:$G$10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27</c:v>
                      </c:pt>
                      <c:pt idx="1">
                        <c:v>92</c:v>
                      </c:pt>
                      <c:pt idx="2">
                        <c:v>40</c:v>
                      </c:pt>
                      <c:pt idx="3">
                        <c:v>16</c:v>
                      </c:pt>
                      <c:pt idx="4">
                        <c:v>4</c:v>
                      </c:pt>
                      <c:pt idx="5">
                        <c:v>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4BE-4096-9E91-D4712C274269}"/>
                  </c:ext>
                </c:extLst>
              </c15:ser>
            </c15:filteredBarSeries>
          </c:ext>
        </c:extLst>
      </c:barChart>
      <c:catAx>
        <c:axId val="8654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65465616"/>
        <c:crosses val="autoZero"/>
        <c:auto val="1"/>
        <c:lblAlgn val="ctr"/>
        <c:lblOffset val="100"/>
        <c:noMultiLvlLbl val="0"/>
      </c:catAx>
      <c:valAx>
        <c:axId val="8654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6546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Attendance</a:t>
            </a:r>
            <a:r>
              <a:rPr lang="en-GB" baseline="0"/>
              <a:t> with parties by tier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'18. Attendance with parties'!$B$4</c:f>
              <c:strCache>
                <c:ptCount val="1"/>
                <c:pt idx="0">
                  <c:v>Legal representative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parties'!$C$4:$N$4</c15:sqref>
                  </c15:fullRef>
                </c:ext>
              </c:extLst>
              <c:f>('18. Attendance with parties'!$D$4,'18. Attendance with parties'!$F$4,'18. Attendance with parties'!$H$4,'18. Attendance with parties'!$J$4,'18. Attendance with parties'!$L$4,'18. Attendance with parties'!$N$4)</c:f>
              <c:numCache>
                <c:formatCode>0%</c:formatCode>
                <c:ptCount val="6"/>
                <c:pt idx="0">
                  <c:v>0.63</c:v>
                </c:pt>
                <c:pt idx="1">
                  <c:v>0.48</c:v>
                </c:pt>
                <c:pt idx="2">
                  <c:v>0.55000000000000004</c:v>
                </c:pt>
                <c:pt idx="3">
                  <c:v>0.36</c:v>
                </c:pt>
                <c:pt idx="4">
                  <c:v>0.31</c:v>
                </c:pt>
                <c:pt idx="5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0-4BE7-98FC-EE9C2D297DDC}"/>
            </c:ext>
          </c:extLst>
        </c:ser>
        <c:ser>
          <c:idx val="1"/>
          <c:order val="1"/>
          <c:tx>
            <c:strRef>
              <c:f>'18. Attendance with parties'!$B$5</c:f>
              <c:strCache>
                <c:ptCount val="1"/>
                <c:pt idx="0">
                  <c:v>McKenzie Friend</c:v>
                </c:pt>
              </c:strCache>
            </c:strRef>
          </c:tx>
          <c:spPr>
            <a:solidFill>
              <a:srgbClr val="156082"/>
            </a:solidFill>
            <a:ln>
              <a:solidFill>
                <a:srgbClr val="156082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parties'!$C$5:$N$5</c15:sqref>
                  </c15:fullRef>
                </c:ext>
              </c:extLst>
              <c:f>('18. Attendance with parties'!$D$5,'18. Attendance with parties'!$F$5,'18. Attendance with parties'!$H$5,'18. Attendance with parties'!$J$5,'18. Attendance with parties'!$L$5,'18. Attendance with parties'!$N$5)</c:f>
              <c:numCache>
                <c:formatCode>0%</c:formatCode>
                <c:ptCount val="6"/>
                <c:pt idx="0">
                  <c:v>0.01</c:v>
                </c:pt>
                <c:pt idx="1">
                  <c:v>0.05</c:v>
                </c:pt>
                <c:pt idx="2">
                  <c:v>0.03</c:v>
                </c:pt>
                <c:pt idx="3">
                  <c:v>0.06</c:v>
                </c:pt>
                <c:pt idx="4">
                  <c:v>0.03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0-4BE7-98FC-EE9C2D297DDC}"/>
            </c:ext>
          </c:extLst>
        </c:ser>
        <c:ser>
          <c:idx val="2"/>
          <c:order val="2"/>
          <c:tx>
            <c:strRef>
              <c:f>'18. Attendance with parties'!$B$6</c:f>
              <c:strCache>
                <c:ptCount val="1"/>
                <c:pt idx="0">
                  <c:v>Support Worker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parties'!$C$6:$N$6</c15:sqref>
                  </c15:fullRef>
                </c:ext>
              </c:extLst>
              <c:f>('18. Attendance with parties'!$D$6,'18. Attendance with parties'!$F$6,'18. Attendance with parties'!$H$6,'18. Attendance with parties'!$J$6,'18. Attendance with parties'!$L$6,'18. Attendance with parties'!$N$6)</c:f>
              <c:numCache>
                <c:formatCode>0%</c:formatCode>
                <c:ptCount val="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0-4BE7-98FC-EE9C2D297DDC}"/>
            </c:ext>
          </c:extLst>
        </c:ser>
        <c:ser>
          <c:idx val="3"/>
          <c:order val="3"/>
          <c:tx>
            <c:strRef>
              <c:f>'18. Attendance with parties'!$B$7</c:f>
              <c:strCache>
                <c:ptCount val="1"/>
                <c:pt idx="0">
                  <c:v>Interpreter</c:v>
                </c:pt>
              </c:strCache>
            </c:strRef>
          </c:tx>
          <c:spPr>
            <a:solidFill>
              <a:srgbClr val="A6C9EC"/>
            </a:solidFill>
            <a:ln>
              <a:solidFill>
                <a:srgbClr val="A6C9EC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parties'!$C$7:$N$7</c15:sqref>
                  </c15:fullRef>
                </c:ext>
              </c:extLst>
              <c:f>('18. Attendance with parties'!$D$7,'18. Attendance with parties'!$F$7,'18. Attendance with parties'!$H$7,'18. Attendance with parties'!$J$7,'18. Attendance with parties'!$L$7,'18. Attendance with parties'!$N$7)</c:f>
              <c:numCache>
                <c:formatCode>0%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0-4BE7-98FC-EE9C2D297DDC}"/>
            </c:ext>
          </c:extLst>
        </c:ser>
        <c:ser>
          <c:idx val="4"/>
          <c:order val="4"/>
          <c:tx>
            <c:strRef>
              <c:f>'18. Attendance with parties'!$B$8</c:f>
              <c:strCache>
                <c:ptCount val="1"/>
                <c:pt idx="0">
                  <c:v>Qualified Legal Representative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parties'!$C$8:$N$8</c15:sqref>
                  </c15:fullRef>
                </c:ext>
              </c:extLst>
              <c:f>('18. Attendance with parties'!$D$8,'18. Attendance with parties'!$F$8,'18. Attendance with parties'!$H$8,'18. Attendance with parties'!$J$8,'18. Attendance with parties'!$L$8,'18. Attendance with parties'!$N$8)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0-4BE7-98FC-EE9C2D297DDC}"/>
            </c:ext>
          </c:extLst>
        </c:ser>
        <c:ser>
          <c:idx val="5"/>
          <c:order val="5"/>
          <c:tx>
            <c:strRef>
              <c:f>'18. Attendance with parties'!$B$9</c:f>
              <c:strCache>
                <c:ptCount val="1"/>
                <c:pt idx="0">
                  <c:v>Attended alone</c:v>
                </c:pt>
              </c:strCache>
            </c:strRef>
          </c:tx>
          <c:spPr>
            <a:solidFill>
              <a:srgbClr val="DF6979"/>
            </a:solidFill>
            <a:ln>
              <a:solidFill>
                <a:srgbClr val="DF6979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parties'!$C$9:$N$9</c15:sqref>
                  </c15:fullRef>
                </c:ext>
              </c:extLst>
              <c:f>('18. Attendance with parties'!$D$9,'18. Attendance with parties'!$F$9,'18. Attendance with parties'!$H$9,'18. Attendance with parties'!$J$9,'18. Attendance with parties'!$L$9,'18. Attendance with parties'!$N$9)</c:f>
              <c:numCache>
                <c:formatCode>0%</c:formatCode>
                <c:ptCount val="6"/>
                <c:pt idx="0">
                  <c:v>0.37</c:v>
                </c:pt>
                <c:pt idx="1">
                  <c:v>0.41</c:v>
                </c:pt>
                <c:pt idx="2">
                  <c:v>0.39</c:v>
                </c:pt>
                <c:pt idx="3">
                  <c:v>0.56000000000000005</c:v>
                </c:pt>
                <c:pt idx="4">
                  <c:v>0.5</c:v>
                </c:pt>
                <c:pt idx="5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A0-4BE7-98FC-EE9C2D297DDC}"/>
            </c:ext>
          </c:extLst>
        </c:ser>
        <c:ser>
          <c:idx val="6"/>
          <c:order val="6"/>
          <c:tx>
            <c:strRef>
              <c:f>'18. Attendance with parties'!$B$10</c:f>
              <c:strCache>
                <c:ptCount val="1"/>
                <c:pt idx="0">
                  <c:v>Did not attend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'18. Attendance with parties'!$C$3:$N$3</c15:sqref>
                  </c15:fullRef>
                </c:ext>
              </c:extLst>
              <c:f>('18. Attendance with parties'!$D$3,'18. Attendance with parties'!$F$3,'18. Attendance with parties'!$H$3,'18. Attendance with parties'!$J$3,'18. Attendance with parties'!$L$3,'18. Attendance with parties'!$N$3)</c:f>
              <c:strCache>
                <c:ptCount val="6"/>
                <c:pt idx="0">
                  <c:v>Mother Judges %</c:v>
                </c:pt>
                <c:pt idx="1">
                  <c:v>Mother Magistrates %</c:v>
                </c:pt>
                <c:pt idx="2">
                  <c:v>Mother Total %</c:v>
                </c:pt>
                <c:pt idx="3">
                  <c:v>Father Judges %</c:v>
                </c:pt>
                <c:pt idx="4">
                  <c:v>Father Magistrates %</c:v>
                </c:pt>
                <c:pt idx="5">
                  <c:v>Father 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'18. Attendance with parties'!$C$10:$N$10</c15:sqref>
                  </c15:fullRef>
                </c:ext>
              </c:extLst>
              <c:f>('18. Attendance with parties'!$D$10,'18. Attendance with parties'!$F$10,'18. Attendance with parties'!$H$10,'18. Attendance with parties'!$J$10,'18. Attendance with parties'!$L$10,'18. Attendance with parties'!$N$10)</c:f>
              <c:numCache>
                <c:formatCode>0%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0.16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A0-4BE7-98FC-EE9C2D29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4659040"/>
        <c:axId val="1034662640"/>
      </c:barChart>
      <c:catAx>
        <c:axId val="10346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662640"/>
        <c:crosses val="autoZero"/>
        <c:auto val="1"/>
        <c:lblAlgn val="ctr"/>
        <c:lblOffset val="100"/>
        <c:noMultiLvlLbl val="0"/>
      </c:catAx>
      <c:valAx>
        <c:axId val="103466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6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Case</a:t>
            </a:r>
            <a:r>
              <a:rPr lang="en-GB" baseline="0"/>
              <a:t> has s.7 report  by tier and whether domestic abuse raised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'23. Section 7 reports'!$B$6</c:f>
              <c:strCache>
                <c:ptCount val="1"/>
                <c:pt idx="0">
                  <c:v>No/Don't know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reports'!$C$5:$J$5</c15:sqref>
                  </c15:fullRef>
                </c:ext>
              </c:extLst>
              <c:f>('23. Section 7 reports'!$D$5,'23. Section 7 reports'!$F$5,'23. Section 7 reports'!$H$5,'23. Section 7 reports'!$J$5)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reports'!$C$6:$J$6</c15:sqref>
                  </c15:fullRef>
                </c:ext>
              </c:extLst>
              <c:f>('23. Section 7 reports'!$D$6,'23. Section 7 reports'!$F$6,'23. Section 7 reports'!$H$6,'23. Section 7 reports'!$J$6)</c:f>
              <c:numCache>
                <c:formatCode>0%</c:formatCode>
                <c:ptCount val="4"/>
                <c:pt idx="0">
                  <c:v>0.45695364238410596</c:v>
                </c:pt>
                <c:pt idx="1">
                  <c:v>0.56462585034013602</c:v>
                </c:pt>
                <c:pt idx="2">
                  <c:v>0.46718146718146719</c:v>
                </c:pt>
                <c:pt idx="3">
                  <c:v>0.84615384615384615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2-4EB8-BF0A-1655FB330CC3}"/>
            </c:ext>
          </c:extLst>
        </c:ser>
        <c:ser>
          <c:idx val="1"/>
          <c:order val="1"/>
          <c:tx>
            <c:strRef>
              <c:f>'23. Section 7 reports'!$B$7</c:f>
              <c:strCache>
                <c:ptCount val="1"/>
                <c:pt idx="0">
                  <c:v>Written by Cafcass or Cafcass Cymru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reports'!$C$5:$J$5</c15:sqref>
                  </c15:fullRef>
                </c:ext>
              </c:extLst>
              <c:f>('23. Section 7 reports'!$D$5,'23. Section 7 reports'!$F$5,'23. Section 7 reports'!$H$5,'23. Section 7 reports'!$J$5)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reports'!$C$7:$J$7</c15:sqref>
                  </c15:fullRef>
                </c:ext>
              </c:extLst>
              <c:f>('23. Section 7 reports'!$D$7,'23. Section 7 reports'!$F$7,'23. Section 7 reports'!$H$7,'23. Section 7 reports'!$J$7)</c:f>
              <c:numCache>
                <c:formatCode>0%</c:formatCode>
                <c:ptCount val="4"/>
                <c:pt idx="0">
                  <c:v>0.37086092715231789</c:v>
                </c:pt>
                <c:pt idx="1">
                  <c:v>0.3401360544217687</c:v>
                </c:pt>
                <c:pt idx="2">
                  <c:v>0.38610038610038611</c:v>
                </c:pt>
                <c:pt idx="3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2-4EB8-BF0A-1655FB330CC3}"/>
            </c:ext>
          </c:extLst>
        </c:ser>
        <c:ser>
          <c:idx val="2"/>
          <c:order val="2"/>
          <c:tx>
            <c:strRef>
              <c:f>'23. Section 7 reports'!$B$8</c:f>
              <c:strCache>
                <c:ptCount val="1"/>
                <c:pt idx="0">
                  <c:v>Written by Local Authority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reports'!$C$5:$J$5</c15:sqref>
                  </c15:fullRef>
                </c:ext>
              </c:extLst>
              <c:f>('23. Section 7 reports'!$D$5,'23. Section 7 reports'!$F$5,'23. Section 7 reports'!$H$5,'23. Section 7 reports'!$J$5)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reports'!$C$8:$J$8</c15:sqref>
                  </c15:fullRef>
                </c:ext>
              </c:extLst>
              <c:f>('23. Section 7 reports'!$D$8,'23. Section 7 reports'!$F$8,'23. Section 7 reports'!$H$8,'23. Section 7 reports'!$J$8)</c:f>
              <c:numCache>
                <c:formatCode>0%</c:formatCode>
                <c:ptCount val="4"/>
                <c:pt idx="0">
                  <c:v>0.16556291390728478</c:v>
                </c:pt>
                <c:pt idx="1">
                  <c:v>9.5238095238095233E-2</c:v>
                </c:pt>
                <c:pt idx="2">
                  <c:v>0.14671814671814673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2-4EB8-BF0A-1655FB330CC3}"/>
            </c:ext>
          </c:extLst>
        </c:ser>
        <c:ser>
          <c:idx val="3"/>
          <c:order val="3"/>
          <c:tx>
            <c:strRef>
              <c:f>'23. Section 7 reports'!$B$9</c:f>
              <c:strCache>
                <c:ptCount val="1"/>
                <c:pt idx="0">
                  <c:v>Written by Independent Social Worker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reports'!$C$5:$J$5</c15:sqref>
                  </c15:fullRef>
                </c:ext>
              </c:extLst>
              <c:f>('23. Section 7 reports'!$D$5,'23. Section 7 reports'!$F$5,'23. Section 7 reports'!$H$5,'23. Section 7 reports'!$J$5)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reports'!$C$9:$J$9</c15:sqref>
                  </c15:fullRef>
                </c:ext>
              </c:extLst>
              <c:f>('23. Section 7 reports'!$D$9,'23. Section 7 reports'!$F$9,'23. Section 7 reports'!$H$9,'23. Section 7 reports'!$J$9)</c:f>
              <c:numCache>
                <c:formatCode>0%</c:formatCode>
                <c:ptCount val="4"/>
                <c:pt idx="0">
                  <c:v>6.6225165562913907E-3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32-4EB8-BF0A-1655FB33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042632"/>
        <c:axId val="931041552"/>
      </c:barChart>
      <c:catAx>
        <c:axId val="93104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931041552"/>
        <c:crosses val="autoZero"/>
        <c:auto val="1"/>
        <c:lblAlgn val="ctr"/>
        <c:lblOffset val="100"/>
        <c:noMultiLvlLbl val="0"/>
      </c:catAx>
      <c:valAx>
        <c:axId val="9310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4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Children consulted in s.7 reports by tier and whether</a:t>
            </a:r>
            <a:r>
              <a:rPr lang="en-GB" baseline="0"/>
              <a:t> domestic abuse raised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'23. Section 7 reports'!$B$36</c:f>
              <c:strCache>
                <c:ptCount val="1"/>
                <c:pt idx="0">
                  <c:v>All children consulted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reports'!$C$35:$J$35</c15:sqref>
                  </c15:fullRef>
                </c:ext>
              </c:extLst>
              <c:f>('23. Section 7 reports'!$D$35,'23. Section 7 reports'!$F$35,'23. Section 7 reports'!$H$35,'23. Section 7 reports'!$J$35)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reports'!$C$36:$J$36</c15:sqref>
                  </c15:fullRef>
                </c:ext>
              </c:extLst>
              <c:f>('23. Section 7 reports'!$D$36,'23. Section 7 reports'!$F$36,'23. Section 7 reports'!$H$36,'23. Section 7 reports'!$J$36)</c:f>
              <c:numCache>
                <c:formatCode>0%</c:formatCode>
                <c:ptCount val="4"/>
                <c:pt idx="0">
                  <c:v>0.78048780487804881</c:v>
                </c:pt>
                <c:pt idx="1">
                  <c:v>0.625</c:v>
                </c:pt>
                <c:pt idx="2">
                  <c:v>0.7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7-4695-8D96-2C31AC36D742}"/>
            </c:ext>
          </c:extLst>
        </c:ser>
        <c:ser>
          <c:idx val="1"/>
          <c:order val="1"/>
          <c:tx>
            <c:strRef>
              <c:f>'23. Section 7 reports'!$B$37</c:f>
              <c:strCache>
                <c:ptCount val="1"/>
                <c:pt idx="0">
                  <c:v>Some children consulted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reports'!$C$35:$J$35</c15:sqref>
                  </c15:fullRef>
                </c:ext>
              </c:extLst>
              <c:f>('23. Section 7 reports'!$D$35,'23. Section 7 reports'!$F$35,'23. Section 7 reports'!$H$35,'23. Section 7 reports'!$J$35)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reports'!$C$37:$J$37</c15:sqref>
                  </c15:fullRef>
                </c:ext>
              </c:extLst>
              <c:f>('23. Section 7 reports'!$D$37,'23. Section 7 reports'!$F$37,'23. Section 7 reports'!$H$37,'23. Section 7 reports'!$J$37)</c:f>
              <c:numCache>
                <c:formatCode>0%</c:formatCode>
                <c:ptCount val="4"/>
                <c:pt idx="0">
                  <c:v>3.6585365853658534E-2</c:v>
                </c:pt>
                <c:pt idx="1">
                  <c:v>4.6875E-2</c:v>
                </c:pt>
                <c:pt idx="2">
                  <c:v>4.2857142857142858E-2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7-4695-8D96-2C31AC36D742}"/>
            </c:ext>
          </c:extLst>
        </c:ser>
        <c:ser>
          <c:idx val="2"/>
          <c:order val="2"/>
          <c:tx>
            <c:strRef>
              <c:f>'23. Section 7 reports'!$B$38</c:f>
              <c:strCache>
                <c:ptCount val="1"/>
                <c:pt idx="0">
                  <c:v>No children consulted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'23. Section 7 reports'!$C$35:$J$35</c15:sqref>
                  </c15:fullRef>
                </c:ext>
              </c:extLst>
              <c:f>('23. Section 7 reports'!$D$35,'23. Section 7 reports'!$F$35,'23. Section 7 reports'!$H$35,'23. Section 7 reports'!$J$35)</c:f>
              <c:strCache>
                <c:ptCount val="4"/>
                <c:pt idx="0">
                  <c:v>Judges %</c:v>
                </c:pt>
                <c:pt idx="1">
                  <c:v>Magistrates %</c:v>
                </c:pt>
                <c:pt idx="2">
                  <c:v>DA raised %</c:v>
                </c:pt>
                <c:pt idx="3">
                  <c:v>No DA raised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'23. Section 7 reports'!$C$38:$J$38</c15:sqref>
                  </c15:fullRef>
                </c:ext>
              </c:extLst>
              <c:f>('23. Section 7 reports'!$D$38,'23. Section 7 reports'!$F$38,'23. Section 7 reports'!$H$38,'23. Section 7 reports'!$J$38)</c:f>
              <c:numCache>
                <c:formatCode>0%</c:formatCode>
                <c:ptCount val="4"/>
                <c:pt idx="0">
                  <c:v>0.18292682926829268</c:v>
                </c:pt>
                <c:pt idx="1">
                  <c:v>0.328125</c:v>
                </c:pt>
                <c:pt idx="2">
                  <c:v>0.25714285714285712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7-4695-8D96-2C31AC36D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295200"/>
        <c:axId val="8218669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'23. Section 7 reports'!$B$39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'23. Section 7 reports'!$C$35:$J$35</c15:sqref>
                        </c15:fullRef>
                        <c15:formulaRef>
                          <c15:sqref>('23. Section 7 reports'!$D$35,'23. Section 7 reports'!$F$35,'23. Section 7 reports'!$H$35,'23. Section 7 reports'!$J$35)</c15:sqref>
                        </c15:formulaRef>
                      </c:ext>
                    </c:extLst>
                    <c:strCache>
                      <c:ptCount val="4"/>
                      <c:pt idx="0">
                        <c:v>Judges %</c:v>
                      </c:pt>
                      <c:pt idx="1">
                        <c:v>Magistrates %</c:v>
                      </c:pt>
                      <c:pt idx="2">
                        <c:v>DA raised %</c:v>
                      </c:pt>
                      <c:pt idx="3">
                        <c:v>No DA raised 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'23. Section 7 reports'!$C$39:$J$39</c15:sqref>
                        </c15:fullRef>
                        <c15:formulaRef>
                          <c15:sqref>('23. Section 7 reports'!$D$39,'23. Section 7 reports'!$F$39,'23. Section 7 reports'!$H$39,'23. Section 7 reports'!$J$39)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6B7-4695-8D96-2C31AC36D742}"/>
                  </c:ext>
                </c:extLst>
              </c15:ser>
            </c15:filteredBarSeries>
          </c:ext>
        </c:extLst>
      </c:barChart>
      <c:catAx>
        <c:axId val="8272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821866960"/>
        <c:crosses val="autoZero"/>
        <c:auto val="1"/>
        <c:lblAlgn val="ctr"/>
        <c:lblOffset val="100"/>
        <c:noMultiLvlLbl val="0"/>
      </c:catAx>
      <c:valAx>
        <c:axId val="82186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2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US"/>
              <a:t>Where</a:t>
            </a:r>
            <a:r>
              <a:rPr lang="en-US" baseline="0"/>
              <a:t> DA was raised, how important was it to the s.7 report recommendations?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'24. Section 7 recommendations'!$C$16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DF69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FD-49FB-BCED-6B14A94AE465}"/>
              </c:ext>
            </c:extLst>
          </c:dPt>
          <c:dPt>
            <c:idx val="1"/>
            <c:bubble3D val="0"/>
            <c:spPr>
              <a:solidFill>
                <a:srgbClr val="B8483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FD-49FB-BCED-6B14A94AE465}"/>
              </c:ext>
            </c:extLst>
          </c:dPt>
          <c:dPt>
            <c:idx val="2"/>
            <c:bubble3D val="0"/>
            <c:spPr>
              <a:solidFill>
                <a:srgbClr val="E8974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FD-49FB-BCED-6B14A94AE465}"/>
              </c:ext>
            </c:extLst>
          </c:dPt>
          <c:dPt>
            <c:idx val="3"/>
            <c:bubble3D val="0"/>
            <c:spPr>
              <a:solidFill>
                <a:srgbClr val="39B1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FD-49FB-BCED-6B14A94AE465}"/>
              </c:ext>
            </c:extLst>
          </c:dPt>
          <c:cat>
            <c:strRef>
              <c:f>'24. Section 7 recommendations'!$B$17:$B$20</c:f>
              <c:strCache>
                <c:ptCount val="4"/>
                <c:pt idx="0">
                  <c:v>Central</c:v>
                </c:pt>
                <c:pt idx="1">
                  <c:v>Relevant</c:v>
                </c:pt>
                <c:pt idx="2">
                  <c:v>Marginal</c:v>
                </c:pt>
                <c:pt idx="3">
                  <c:v>Irrelevant/not mentioned</c:v>
                </c:pt>
              </c:strCache>
            </c:strRef>
          </c:cat>
          <c:val>
            <c:numRef>
              <c:f>'24. Section 7 recommendations'!$C$17:$C$20</c:f>
              <c:numCache>
                <c:formatCode>General</c:formatCode>
                <c:ptCount val="4"/>
                <c:pt idx="0">
                  <c:v>16</c:v>
                </c:pt>
                <c:pt idx="1">
                  <c:v>38</c:v>
                </c:pt>
                <c:pt idx="2">
                  <c:v>33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2-4728-B59E-07DC709C8895}"/>
            </c:ext>
          </c:extLst>
        </c:ser>
        <c:ser>
          <c:idx val="1"/>
          <c:order val="1"/>
          <c:tx>
            <c:strRef>
              <c:f>'24. Section 7 recommendations'!$D$16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FD-49FB-BCED-6B14A94AE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FD-49FB-BCED-6B14A94AE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FD-49FB-BCED-6B14A94AE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FD-49FB-BCED-6B14A94AE465}"/>
              </c:ext>
            </c:extLst>
          </c:dPt>
          <c:cat>
            <c:strRef>
              <c:f>'24. Section 7 recommendations'!$B$17:$B$20</c:f>
              <c:strCache>
                <c:ptCount val="4"/>
                <c:pt idx="0">
                  <c:v>Central</c:v>
                </c:pt>
                <c:pt idx="1">
                  <c:v>Relevant</c:v>
                </c:pt>
                <c:pt idx="2">
                  <c:v>Marginal</c:v>
                </c:pt>
                <c:pt idx="3">
                  <c:v>Irrelevant/not mentioned</c:v>
                </c:pt>
              </c:strCache>
            </c:strRef>
          </c:cat>
          <c:val>
            <c:numRef>
              <c:f>'24. Section 7 recommendations'!$D$17:$D$20</c:f>
              <c:numCache>
                <c:formatCode>0%</c:formatCode>
                <c:ptCount val="4"/>
                <c:pt idx="0">
                  <c:v>0.11428571428571428</c:v>
                </c:pt>
                <c:pt idx="1">
                  <c:v>0.27142857142857141</c:v>
                </c:pt>
                <c:pt idx="2">
                  <c:v>0.23571428571428571</c:v>
                </c:pt>
                <c:pt idx="3">
                  <c:v>0.37857142857142856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2-4728-B59E-07DC709C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Judicial continuity by tier - cases</a:t>
            </a:r>
            <a:r>
              <a:rPr lang="en-GB" baseline="0"/>
              <a:t> with more than one hearing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'26. Judicial continutiy '!$B$15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'26. Judicial continutiy '!$C$14:$H$14</c15:sqref>
                  </c15:fullRef>
                </c:ext>
              </c:extLst>
              <c:f>('26. Judicial continutiy '!$D$14,'26. Judicial continutiy '!$F$14,'26. Judicial continutiy '!$H$14)</c:f>
              <c:strCache>
                <c:ptCount val="3"/>
                <c:pt idx="0">
                  <c:v>Judges %</c:v>
                </c:pt>
                <c:pt idx="1">
                  <c:v>Magistrates %</c:v>
                </c:pt>
                <c:pt idx="2">
                  <c:v>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Judicial continutiy '!$C$15:$H$15</c15:sqref>
                  </c15:fullRef>
                </c:ext>
              </c:extLst>
              <c:f>('26. Judicial continutiy '!$D$15,'26. Judicial continutiy '!$F$15,'26. Judicial continutiy '!$H$15)</c:f>
              <c:numCache>
                <c:formatCode>0%</c:formatCode>
                <c:ptCount val="3"/>
                <c:pt idx="0">
                  <c:v>0.26666666666666666</c:v>
                </c:pt>
                <c:pt idx="1">
                  <c:v>0.12903225806451613</c:v>
                </c:pt>
                <c:pt idx="2">
                  <c:v>0.20657276995305165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9-4EE6-8BB2-417C47315C0D}"/>
            </c:ext>
          </c:extLst>
        </c:ser>
        <c:ser>
          <c:idx val="1"/>
          <c:order val="1"/>
          <c:tx>
            <c:strRef>
              <c:f>'26. Judicial continutiy '!$B$16</c:f>
              <c:strCache>
                <c:ptCount val="1"/>
                <c:pt idx="0">
                  <c:v>Partial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'26. Judicial continutiy '!$C$14:$H$14</c15:sqref>
                  </c15:fullRef>
                </c:ext>
              </c:extLst>
              <c:f>('26. Judicial continutiy '!$D$14,'26. Judicial continutiy '!$F$14,'26. Judicial continutiy '!$H$14)</c:f>
              <c:strCache>
                <c:ptCount val="3"/>
                <c:pt idx="0">
                  <c:v>Judges %</c:v>
                </c:pt>
                <c:pt idx="1">
                  <c:v>Magistrates %</c:v>
                </c:pt>
                <c:pt idx="2">
                  <c:v>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Judicial continutiy '!$C$16:$H$16</c15:sqref>
                  </c15:fullRef>
                </c:ext>
              </c:extLst>
              <c:f>('26. Judicial continutiy '!$D$16,'26. Judicial continutiy '!$F$16,'26. Judicial continutiy '!$H$16)</c:f>
              <c:numCache>
                <c:formatCode>0%</c:formatCode>
                <c:ptCount val="3"/>
                <c:pt idx="0">
                  <c:v>0.17499999999999999</c:v>
                </c:pt>
                <c:pt idx="1">
                  <c:v>0.13978494623655913</c:v>
                </c:pt>
                <c:pt idx="2">
                  <c:v>0.15962441314553991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9-4EE6-8BB2-417C47315C0D}"/>
            </c:ext>
          </c:extLst>
        </c:ser>
        <c:ser>
          <c:idx val="2"/>
          <c:order val="2"/>
          <c:tx>
            <c:strRef>
              <c:f>'26. Judicial continutiy '!$B$17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'26. Judicial continutiy '!$C$14:$H$14</c15:sqref>
                  </c15:fullRef>
                </c:ext>
              </c:extLst>
              <c:f>('26. Judicial continutiy '!$D$14,'26. Judicial continutiy '!$F$14,'26. Judicial continutiy '!$H$14)</c:f>
              <c:strCache>
                <c:ptCount val="3"/>
                <c:pt idx="0">
                  <c:v>Judges %</c:v>
                </c:pt>
                <c:pt idx="1">
                  <c:v>Magistrates %</c:v>
                </c:pt>
                <c:pt idx="2">
                  <c:v>Total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'26. Judicial continutiy '!$C$17:$H$17</c15:sqref>
                  </c15:fullRef>
                </c:ext>
              </c:extLst>
              <c:f>('26. Judicial continutiy '!$D$17,'26. Judicial continutiy '!$F$17,'26. Judicial continutiy '!$H$17)</c:f>
              <c:numCache>
                <c:formatCode>0%</c:formatCode>
                <c:ptCount val="3"/>
                <c:pt idx="0">
                  <c:v>0.55833333333333335</c:v>
                </c:pt>
                <c:pt idx="1">
                  <c:v>0.73118279569892475</c:v>
                </c:pt>
                <c:pt idx="2">
                  <c:v>0.63380281690140849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9-4EE6-8BB2-417C4731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280760"/>
        <c:axId val="1024281480"/>
      </c:barChart>
      <c:catAx>
        <c:axId val="102428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1024281480"/>
        <c:crosses val="autoZero"/>
        <c:auto val="1"/>
        <c:lblAlgn val="ctr"/>
        <c:lblOffset val="100"/>
        <c:noMultiLvlLbl val="0"/>
      </c:catAx>
      <c:valAx>
        <c:axId val="102428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102428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/>
          <a:ea typeface="Poppins"/>
          <a:cs typeface="Poppin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interim 'live with' orders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'27. Interim orders'!$H$15</c:f>
              <c:strCache>
                <c:ptCount val="1"/>
                <c:pt idx="0">
                  <c:v>Total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0-44AF-BF02-151D4EDF6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0-44AF-BF02-151D4EDF6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0-44AF-BF02-151D4EDF6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D0-44AF-BF02-151D4EDF6D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D0-44AF-BF02-151D4EDF6D8A}"/>
              </c:ext>
            </c:extLst>
          </c:dPt>
          <c:cat>
            <c:strRef>
              <c:f>'27. Interim orders'!$B$16:$B$20</c:f>
              <c:strCache>
                <c:ptCount val="5"/>
                <c:pt idx="0">
                  <c:v>Live with mother</c:v>
                </c:pt>
                <c:pt idx="1">
                  <c:v>Live with father</c:v>
                </c:pt>
                <c:pt idx="2">
                  <c:v>Live with both parents</c:v>
                </c:pt>
                <c:pt idx="3">
                  <c:v>Live with other</c:v>
                </c:pt>
                <c:pt idx="4">
                  <c:v>No lives with order</c:v>
                </c:pt>
              </c:strCache>
            </c:strRef>
          </c:cat>
          <c:val>
            <c:numRef>
              <c:f>'27. Interim orders'!$H$16:$H$20</c:f>
              <c:numCache>
                <c:formatCode>0%</c:formatCode>
                <c:ptCount val="5"/>
                <c:pt idx="0">
                  <c:v>0.58490566037735847</c:v>
                </c:pt>
                <c:pt idx="1">
                  <c:v>0.13207547169811321</c:v>
                </c:pt>
                <c:pt idx="2">
                  <c:v>4.40251572327044E-2</c:v>
                </c:pt>
                <c:pt idx="3">
                  <c:v>3.1446540880503145E-2</c:v>
                </c:pt>
                <c:pt idx="4">
                  <c:v>0.20754716981132076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52-48B2-8FD3-07F21F7D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'27. Interim orders'!$C$15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67D0-44AF-BF02-151D4EDF6D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67D0-44AF-BF02-151D4EDF6D8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67D0-44AF-BF02-151D4EDF6D8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67D0-44AF-BF02-151D4EDF6D8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67D0-44AF-BF02-151D4EDF6D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'27. Interim orders'!$B$16:$B$20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lives with order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'27. Interim orders'!$C$16:$C$20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54</c:v>
                      </c:pt>
                      <c:pt idx="1">
                        <c:v>14</c:v>
                      </c:pt>
                      <c:pt idx="2">
                        <c:v>6</c:v>
                      </c:pt>
                      <c:pt idx="3">
                        <c:v>3</c:v>
                      </c:pt>
                      <c:pt idx="4">
                        <c:v>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B52-48B2-8FD3-07F21F7D24E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orders'!$D$15</c15:sqref>
                        </c15:formulaRef>
                      </c:ext>
                    </c:extLst>
                    <c:strCache>
                      <c:ptCount val="1"/>
                      <c:pt idx="0">
                        <c:v>Judges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7D0-44AF-BF02-151D4EDF6D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7D0-44AF-BF02-151D4EDF6D8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7D0-44AF-BF02-151D4EDF6D8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67D0-44AF-BF02-151D4EDF6D8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7D0-44AF-BF02-151D4EDF6D8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orders'!$B$16:$B$20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lives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orders'!$D$16:$D$20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0.56842105263157894</c:v>
                      </c:pt>
                      <c:pt idx="1">
                        <c:v>0.14736842105263157</c:v>
                      </c:pt>
                      <c:pt idx="2">
                        <c:v>6.3157894736842107E-2</c:v>
                      </c:pt>
                      <c:pt idx="3">
                        <c:v>3.1578947368421054E-2</c:v>
                      </c:pt>
                      <c:pt idx="4">
                        <c:v>0.18947368421052632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B52-48B2-8FD3-07F21F7D24E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orders'!$E$15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7D0-44AF-BF02-151D4EDF6D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7D0-44AF-BF02-151D4EDF6D8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7D0-44AF-BF02-151D4EDF6D8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7D0-44AF-BF02-151D4EDF6D8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7D0-44AF-BF02-151D4EDF6D8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orders'!$B$16:$B$20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lives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orders'!$E$16:$E$20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39</c:v>
                      </c:pt>
                      <c:pt idx="1">
                        <c:v>7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B52-48B2-8FD3-07F21F7D24E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orders'!$F$15</c15:sqref>
                        </c15:formulaRef>
                      </c:ext>
                    </c:extLst>
                    <c:strCache>
                      <c:ptCount val="1"/>
                      <c:pt idx="0">
                        <c:v>Magistrates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7D0-44AF-BF02-151D4EDF6D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67D0-44AF-BF02-151D4EDF6D8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67D0-44AF-BF02-151D4EDF6D8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67D0-44AF-BF02-151D4EDF6D8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7D0-44AF-BF02-151D4EDF6D8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orders'!$B$16:$B$20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lives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orders'!$F$16:$F$20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0.609375</c:v>
                      </c:pt>
                      <c:pt idx="1">
                        <c:v>0.109375</c:v>
                      </c:pt>
                      <c:pt idx="2">
                        <c:v>1.5625E-2</c:v>
                      </c:pt>
                      <c:pt idx="3">
                        <c:v>3.125E-2</c:v>
                      </c:pt>
                      <c:pt idx="4">
                        <c:v>0.234375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52-48B2-8FD3-07F21F7D24E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orders'!$G$15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7D0-44AF-BF02-151D4EDF6D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7D0-44AF-BF02-151D4EDF6D8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7D0-44AF-BF02-151D4EDF6D8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7D0-44AF-BF02-151D4EDF6D8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7D0-44AF-BF02-151D4EDF6D8A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orders'!$B$16:$B$20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lives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orders'!$G$16:$G$20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93</c:v>
                      </c:pt>
                      <c:pt idx="1">
                        <c:v>21</c:v>
                      </c:pt>
                      <c:pt idx="2">
                        <c:v>7</c:v>
                      </c:pt>
                      <c:pt idx="3">
                        <c:v>5</c:v>
                      </c:pt>
                      <c:pt idx="4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B52-48B2-8FD3-07F21F7D24E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interim 'time with'</a:t>
            </a:r>
            <a:r>
              <a:rPr lang="en-US" baseline="0"/>
              <a:t> orders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'27. Interim orders'!$H$26</c:f>
              <c:strCache>
                <c:ptCount val="1"/>
                <c:pt idx="0">
                  <c:v>Total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2-429F-8BF2-CFB997DBC0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92-429F-8BF2-CFB997DBC0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92-429F-8BF2-CFB997DBC0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92-429F-8BF2-CFB997DBC0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92-429F-8BF2-CFB997DBC0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2-429F-8BF2-CFB997DBC0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2-429F-8BF2-CFB997DBC0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92-429F-8BF2-CFB997DBC06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'27. Interim orders'!$B$27:$B$35</c15:sqref>
                  </c15:fullRef>
                </c:ext>
              </c:extLst>
              <c:f>'27. Interim orders'!$B$27:$B$34</c:f>
              <c:strCache>
                <c:ptCount val="8"/>
                <c:pt idx="0">
                  <c:v>Unsupervised overnight</c:v>
                </c:pt>
                <c:pt idx="1">
                  <c:v>Unsupervised daytime</c:v>
                </c:pt>
                <c:pt idx="2">
                  <c:v>Supervised/supported - professional</c:v>
                </c:pt>
                <c:pt idx="3">
                  <c:v>Supervised/supported - family/friend</c:v>
                </c:pt>
                <c:pt idx="4">
                  <c:v>Progression of contact</c:v>
                </c:pt>
                <c:pt idx="5">
                  <c:v>Indirect</c:v>
                </c:pt>
                <c:pt idx="6">
                  <c:v>No contact</c:v>
                </c:pt>
                <c:pt idx="7">
                  <c:v>No time with order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'27. Interim orders'!$H$27:$H$35</c15:sqref>
                  </c15:fullRef>
                </c:ext>
              </c:extLst>
              <c:f>'27. Interim orders'!$H$27:$H$34</c:f>
              <c:numCache>
                <c:formatCode>0%</c:formatCode>
                <c:ptCount val="8"/>
                <c:pt idx="0">
                  <c:v>0.22641509433962265</c:v>
                </c:pt>
                <c:pt idx="1">
                  <c:v>0.11949685534591195</c:v>
                </c:pt>
                <c:pt idx="2">
                  <c:v>0.15723270440251572</c:v>
                </c:pt>
                <c:pt idx="3">
                  <c:v>0.10062893081761007</c:v>
                </c:pt>
                <c:pt idx="4">
                  <c:v>5.0314465408805034E-2</c:v>
                </c:pt>
                <c:pt idx="5">
                  <c:v>0.10062893081761007</c:v>
                </c:pt>
                <c:pt idx="6">
                  <c:v>0.11320754716981132</c:v>
                </c:pt>
                <c:pt idx="7">
                  <c:v>0.11949685534591195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5-1935-4450-843C-3CD66CE1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'27. Interim orders'!$C$26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3692-429F-8BF2-CFB997DBC06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3692-429F-8BF2-CFB997DBC06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3692-429F-8BF2-CFB997DBC06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3692-429F-8BF2-CFB997DBC06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3692-429F-8BF2-CFB997DBC06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3692-429F-8BF2-CFB997DBC06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3692-429F-8BF2-CFB997DBC06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3692-429F-8BF2-CFB997DBC0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'27. Interim orders'!$B$27:$B$35</c15:sqref>
                        </c15:fullRef>
                        <c15:formulaRef>
                          <c15:sqref>'27. Interim orders'!$B$27:$B$34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'27. Interim orders'!$C$27:$C$35</c15:sqref>
                        </c15:fullRef>
                        <c15:formulaRef>
                          <c15:sqref>'27. Interim orders'!$C$27:$C$34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16</c:v>
                      </c:pt>
                      <c:pt idx="1">
                        <c:v>13</c:v>
                      </c:pt>
                      <c:pt idx="2">
                        <c:v>13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935-4450-843C-3CD66CE1034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orders'!$D$26</c15:sqref>
                        </c15:formulaRef>
                      </c:ext>
                    </c:extLst>
                    <c:strCache>
                      <c:ptCount val="1"/>
                      <c:pt idx="0">
                        <c:v>Judges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692-429F-8BF2-CFB997DBC06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692-429F-8BF2-CFB997DBC06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692-429F-8BF2-CFB997DBC06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692-429F-8BF2-CFB997DBC06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692-429F-8BF2-CFB997DBC06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3692-429F-8BF2-CFB997DBC06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3692-429F-8BF2-CFB997DBC06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3692-429F-8BF2-CFB997DBC06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'27. Interim orders'!$B$27:$B$35</c15:sqref>
                        </c15:fullRef>
                        <c15:formulaRef>
                          <c15:sqref>'27. Interim orders'!$B$27:$B$34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'27. Interim orders'!$D$27:$D$35</c15:sqref>
                        </c15:fullRef>
                        <c15:formulaRef>
                          <c15:sqref>'27. Interim orders'!$D$27:$D$34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0.16842105263157894</c:v>
                      </c:pt>
                      <c:pt idx="1">
                        <c:v>0.1368421052631579</c:v>
                      </c:pt>
                      <c:pt idx="2">
                        <c:v>0.1368421052631579</c:v>
                      </c:pt>
                      <c:pt idx="3">
                        <c:v>0.11578947368421053</c:v>
                      </c:pt>
                      <c:pt idx="4">
                        <c:v>3.1578947368421054E-2</c:v>
                      </c:pt>
                      <c:pt idx="5">
                        <c:v>0.15789473684210525</c:v>
                      </c:pt>
                      <c:pt idx="6">
                        <c:v>0.15789473684210525</c:v>
                      </c:pt>
                      <c:pt idx="7">
                        <c:v>9.4736842105263161E-2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935-4450-843C-3CD66CE1034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orders'!$E$26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3692-429F-8BF2-CFB997DBC06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3692-429F-8BF2-CFB997DBC06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3692-429F-8BF2-CFB997DBC06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3692-429F-8BF2-CFB997DBC06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3692-429F-8BF2-CFB997DBC06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3692-429F-8BF2-CFB997DBC06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692-429F-8BF2-CFB997DBC06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692-429F-8BF2-CFB997DBC06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'27. Interim orders'!$B$27:$B$35</c15:sqref>
                        </c15:fullRef>
                        <c15:formulaRef>
                          <c15:sqref>'27. Interim orders'!$B$27:$B$34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'27. Interim orders'!$E$27:$E$35</c15:sqref>
                        </c15:fullRef>
                        <c15:formulaRef>
                          <c15:sqref>'27. Interim orders'!$E$27:$E$34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</c:v>
                      </c:pt>
                      <c:pt idx="1">
                        <c:v>6</c:v>
                      </c:pt>
                      <c:pt idx="2">
                        <c:v>12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</c:v>
                      </c:pt>
                      <c:pt idx="7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1935-4450-843C-3CD66CE1034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orders'!$F$26</c15:sqref>
                        </c15:formulaRef>
                      </c:ext>
                    </c:extLst>
                    <c:strCache>
                      <c:ptCount val="1"/>
                      <c:pt idx="0">
                        <c:v>Magistrages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692-429F-8BF2-CFB997DBC06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692-429F-8BF2-CFB997DBC06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692-429F-8BF2-CFB997DBC06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692-429F-8BF2-CFB997DBC06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3692-429F-8BF2-CFB997DBC06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3692-429F-8BF2-CFB997DBC06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3692-429F-8BF2-CFB997DBC06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3692-429F-8BF2-CFB997DBC06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'27. Interim orders'!$B$27:$B$35</c15:sqref>
                        </c15:fullRef>
                        <c15:formulaRef>
                          <c15:sqref>'27. Interim orders'!$B$27:$B$34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'27. Interim orders'!$F$27:$F$35</c15:sqref>
                        </c15:fullRef>
                        <c15:formulaRef>
                          <c15:sqref>'27. Interim orders'!$F$27:$F$34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0.3125</c:v>
                      </c:pt>
                      <c:pt idx="1">
                        <c:v>9.375E-2</c:v>
                      </c:pt>
                      <c:pt idx="2">
                        <c:v>0.1875</c:v>
                      </c:pt>
                      <c:pt idx="3">
                        <c:v>7.8125E-2</c:v>
                      </c:pt>
                      <c:pt idx="4">
                        <c:v>7.8125E-2</c:v>
                      </c:pt>
                      <c:pt idx="5">
                        <c:v>1.5625E-2</c:v>
                      </c:pt>
                      <c:pt idx="6">
                        <c:v>4.6875E-2</c:v>
                      </c:pt>
                      <c:pt idx="7">
                        <c:v>0.15625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935-4450-843C-3CD66CE1034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'27. Interim orders'!$G$26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3692-429F-8BF2-CFB997DBC06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3692-429F-8BF2-CFB997DBC06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3692-429F-8BF2-CFB997DBC06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3692-429F-8BF2-CFB997DBC06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3692-429F-8BF2-CFB997DBC06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692-429F-8BF2-CFB997DBC06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692-429F-8BF2-CFB997DBC06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692-429F-8BF2-CFB997DBC06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'27. Interim orders'!$B$27:$B$35</c15:sqref>
                        </c15:fullRef>
                        <c15:formulaRef>
                          <c15:sqref>'27. Interim orders'!$B$27:$B$34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'27. Interim orders'!$G$27:$G$35</c15:sqref>
                        </c15:fullRef>
                        <c15:formulaRef>
                          <c15:sqref>'27. Interim orders'!$G$27:$G$34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36</c:v>
                      </c:pt>
                      <c:pt idx="1">
                        <c:v>19</c:v>
                      </c:pt>
                      <c:pt idx="2">
                        <c:v>25</c:v>
                      </c:pt>
                      <c:pt idx="3">
                        <c:v>16</c:v>
                      </c:pt>
                      <c:pt idx="4">
                        <c:v>8</c:v>
                      </c:pt>
                      <c:pt idx="5">
                        <c:v>16</c:v>
                      </c:pt>
                      <c:pt idx="6">
                        <c:v>18</c:v>
                      </c:pt>
                      <c:pt idx="7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935-4450-843C-3CD66CE1034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Number of children per 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Parties and children'!$C$4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39B1A1"/>
            </a:solidFill>
          </c:spPr>
          <c:dPt>
            <c:idx val="0"/>
            <c:bubble3D val="0"/>
            <c:spPr>
              <a:solidFill>
                <a:srgbClr val="39B1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DC-4F07-B34B-016B74F288B8}"/>
              </c:ext>
            </c:extLst>
          </c:dPt>
          <c:dPt>
            <c:idx val="1"/>
            <c:bubble3D val="0"/>
            <c:spPr>
              <a:solidFill>
                <a:srgbClr val="DF69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DC-4F07-B34B-016B74F288B8}"/>
              </c:ext>
            </c:extLst>
          </c:dPt>
          <c:dPt>
            <c:idx val="2"/>
            <c:bubble3D val="0"/>
            <c:spPr>
              <a:solidFill>
                <a:srgbClr val="E8974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DC-4F07-B34B-016B74F288B8}"/>
              </c:ext>
            </c:extLst>
          </c:dPt>
          <c:dPt>
            <c:idx val="3"/>
            <c:bubble3D val="0"/>
            <c:spPr>
              <a:solidFill>
                <a:srgbClr val="B8483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DC-4F07-B34B-016B74F288B8}"/>
              </c:ext>
            </c:extLst>
          </c:dPt>
          <c:cat>
            <c:strRef>
              <c:f>'2. Parties and children'!$B$5:$B$8</c:f>
              <c:strCache>
                <c:ptCount val="4"/>
                <c:pt idx="0">
                  <c:v>1 child</c:v>
                </c:pt>
                <c:pt idx="1">
                  <c:v>2 children</c:v>
                </c:pt>
                <c:pt idx="2">
                  <c:v>3 children</c:v>
                </c:pt>
                <c:pt idx="3">
                  <c:v>4 children</c:v>
                </c:pt>
              </c:strCache>
            </c:strRef>
          </c:cat>
          <c:val>
            <c:numRef>
              <c:f>'2. Parties and children'!$C$5:$C$8</c:f>
              <c:numCache>
                <c:formatCode>General</c:formatCode>
                <c:ptCount val="4"/>
                <c:pt idx="0">
                  <c:v>201</c:v>
                </c:pt>
                <c:pt idx="1">
                  <c:v>73</c:v>
                </c:pt>
                <c:pt idx="2">
                  <c:v>21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7-4042-87ED-47C49CEC6B97}"/>
            </c:ext>
          </c:extLst>
        </c:ser>
        <c:ser>
          <c:idx val="1"/>
          <c:order val="1"/>
          <c:tx>
            <c:strRef>
              <c:f>'2. Parties and children'!$D$4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DC-4F07-B34B-016B74F288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DC-4F07-B34B-016B74F288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DC-4F07-B34B-016B74F288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DC-4F07-B34B-016B74F288B8}"/>
              </c:ext>
            </c:extLst>
          </c:dPt>
          <c:cat>
            <c:strRef>
              <c:f>'2. Parties and children'!$B$5:$B$8</c:f>
              <c:strCache>
                <c:ptCount val="4"/>
                <c:pt idx="0">
                  <c:v>1 child</c:v>
                </c:pt>
                <c:pt idx="1">
                  <c:v>2 children</c:v>
                </c:pt>
                <c:pt idx="2">
                  <c:v>3 children</c:v>
                </c:pt>
                <c:pt idx="3">
                  <c:v>4 children</c:v>
                </c:pt>
              </c:strCache>
            </c:strRef>
          </c:cat>
          <c:val>
            <c:numRef>
              <c:f>'2. Parties and children'!$D$5:$D$8</c:f>
              <c:numCache>
                <c:formatCode>0%</c:formatCode>
                <c:ptCount val="4"/>
                <c:pt idx="0">
                  <c:v>0.67</c:v>
                </c:pt>
                <c:pt idx="1">
                  <c:v>0.24</c:v>
                </c:pt>
                <c:pt idx="2">
                  <c:v>7.0000000000000007E-2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7-4042-87ED-47C49CEC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 'live with' orders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'28. Final orders'!$H$13</c:f>
              <c:strCache>
                <c:ptCount val="1"/>
                <c:pt idx="0">
                  <c:v>Total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E-4E7A-B7BD-178BA24101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E-4E7A-B7BD-178BA24101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E-4E7A-B7BD-178BA24101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E-4E7A-B7BD-178BA24101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E-4E7A-B7BD-178BA24101F8}"/>
              </c:ext>
            </c:extLst>
          </c:dPt>
          <c:cat>
            <c:strRef>
              <c:f>'28. Final orders'!$B$14:$B$18</c:f>
              <c:strCache>
                <c:ptCount val="5"/>
                <c:pt idx="0">
                  <c:v>Live with mother</c:v>
                </c:pt>
                <c:pt idx="1">
                  <c:v>Live with father</c:v>
                </c:pt>
                <c:pt idx="2">
                  <c:v>Live with both parents</c:v>
                </c:pt>
                <c:pt idx="3">
                  <c:v>Live with other</c:v>
                </c:pt>
                <c:pt idx="4">
                  <c:v>No live with order</c:v>
                </c:pt>
              </c:strCache>
            </c:strRef>
          </c:cat>
          <c:val>
            <c:numRef>
              <c:f>'28. Final orders'!$H$14:$H$18</c:f>
              <c:numCache>
                <c:formatCode>0%</c:formatCode>
                <c:ptCount val="5"/>
                <c:pt idx="0">
                  <c:v>0.32765957446808508</c:v>
                </c:pt>
                <c:pt idx="1">
                  <c:v>5.5319148936170209E-2</c:v>
                </c:pt>
                <c:pt idx="2">
                  <c:v>0.33191489361702126</c:v>
                </c:pt>
                <c:pt idx="3">
                  <c:v>1.276595744680851E-2</c:v>
                </c:pt>
                <c:pt idx="4">
                  <c:v>0.2723404255319149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B-4039-8C15-59E0E903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'28. Final orders'!$C$13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0EEE-4E7A-B7BD-178BA24101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0EEE-4E7A-B7BD-178BA24101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0EEE-4E7A-B7BD-178BA24101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0EEE-4E7A-B7BD-178BA24101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0EEE-4E7A-B7BD-178BA24101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'28. Final orders'!$B$14:$B$18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 with order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'28. Final orders'!$C$14:$C$18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34</c:v>
                      </c:pt>
                      <c:pt idx="1">
                        <c:v>7</c:v>
                      </c:pt>
                      <c:pt idx="2">
                        <c:v>42</c:v>
                      </c:pt>
                      <c:pt idx="3">
                        <c:v>1</c:v>
                      </c:pt>
                      <c:pt idx="4">
                        <c:v>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61B-4039-8C15-59E0E903EA4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orders'!$D$13</c15:sqref>
                        </c15:formulaRef>
                      </c:ext>
                    </c:extLst>
                    <c:strCache>
                      <c:ptCount val="1"/>
                      <c:pt idx="0">
                        <c:v>Judges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EEE-4E7A-B7BD-178BA24101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EEE-4E7A-B7BD-178BA24101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EEE-4E7A-B7BD-178BA24101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EEE-4E7A-B7BD-178BA24101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EEE-4E7A-B7BD-178BA24101F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orders'!$B$14:$B$18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orders'!$D$14:$D$18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0.28099173553719009</c:v>
                      </c:pt>
                      <c:pt idx="1">
                        <c:v>5.7851239669421489E-2</c:v>
                      </c:pt>
                      <c:pt idx="2">
                        <c:v>0.34710743801652894</c:v>
                      </c:pt>
                      <c:pt idx="3">
                        <c:v>8.2644628099173556E-3</c:v>
                      </c:pt>
                      <c:pt idx="4">
                        <c:v>0.30578512396694213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61B-4039-8C15-59E0E903EA4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orders'!$E$13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EEE-4E7A-B7BD-178BA24101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EEE-4E7A-B7BD-178BA24101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EEE-4E7A-B7BD-178BA24101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EEE-4E7A-B7BD-178BA24101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EEE-4E7A-B7BD-178BA24101F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orders'!$B$14:$B$18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orders'!$E$14:$E$18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43</c:v>
                      </c:pt>
                      <c:pt idx="1">
                        <c:v>6</c:v>
                      </c:pt>
                      <c:pt idx="2">
                        <c:v>36</c:v>
                      </c:pt>
                      <c:pt idx="3">
                        <c:v>2</c:v>
                      </c:pt>
                      <c:pt idx="4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61B-4039-8C15-59E0E903EA4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orders'!$F$13</c15:sqref>
                        </c15:formulaRef>
                      </c:ext>
                    </c:extLst>
                    <c:strCache>
                      <c:ptCount val="1"/>
                      <c:pt idx="0">
                        <c:v>Magistrates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EEE-4E7A-B7BD-178BA24101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EEE-4E7A-B7BD-178BA24101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EEE-4E7A-B7BD-178BA24101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EEE-4E7A-B7BD-178BA24101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EEE-4E7A-B7BD-178BA24101F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orders'!$B$14:$B$18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orders'!$F$14:$F$18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0.37719298245614036</c:v>
                      </c:pt>
                      <c:pt idx="1">
                        <c:v>5.2631578947368418E-2</c:v>
                      </c:pt>
                      <c:pt idx="2">
                        <c:v>0.31578947368421051</c:v>
                      </c:pt>
                      <c:pt idx="3">
                        <c:v>1.7543859649122806E-2</c:v>
                      </c:pt>
                      <c:pt idx="4">
                        <c:v>0.23684210526315788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61B-4039-8C15-59E0E903EA4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orders'!$G$13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EEE-4E7A-B7BD-178BA24101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EEE-4E7A-B7BD-178BA24101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EEE-4E7A-B7BD-178BA24101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0EEE-4E7A-B7BD-178BA24101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0EEE-4E7A-B7BD-178BA24101F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orders'!$B$14:$B$18</c15:sqref>
                        </c15:formulaRef>
                      </c:ext>
                    </c:extLst>
                    <c:strCache>
                      <c:ptCount val="5"/>
                      <c:pt idx="0">
                        <c:v>Live with mother</c:v>
                      </c:pt>
                      <c:pt idx="1">
                        <c:v>Live with father</c:v>
                      </c:pt>
                      <c:pt idx="2">
                        <c:v>Live with both parents</c:v>
                      </c:pt>
                      <c:pt idx="3">
                        <c:v>Live with other</c:v>
                      </c:pt>
                      <c:pt idx="4">
                        <c:v>No live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orders'!$G$14:$G$18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77</c:v>
                      </c:pt>
                      <c:pt idx="1">
                        <c:v>13</c:v>
                      </c:pt>
                      <c:pt idx="2">
                        <c:v>78</c:v>
                      </c:pt>
                      <c:pt idx="3">
                        <c:v>3</c:v>
                      </c:pt>
                      <c:pt idx="4">
                        <c:v>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61B-4039-8C15-59E0E903EA4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 'time with' orders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5"/>
          <c:order val="5"/>
          <c:tx>
            <c:strRef>
              <c:f>'28. Final orders'!$H$24</c:f>
              <c:strCache>
                <c:ptCount val="1"/>
                <c:pt idx="0">
                  <c:v>Total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F3-44BD-A20D-B6310076B3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F3-44BD-A20D-B6310076B3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F3-44BD-A20D-B6310076B3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F3-44BD-A20D-B6310076B3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F3-44BD-A20D-B6310076B3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F3-44BD-A20D-B6310076B3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F3-44BD-A20D-B6310076B3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F3-44BD-A20D-B6310076B354}"/>
              </c:ext>
            </c:extLst>
          </c:dPt>
          <c:cat>
            <c:strRef>
              <c:f>'28. Final orders'!$B$25:$B$32</c:f>
              <c:strCache>
                <c:ptCount val="8"/>
                <c:pt idx="0">
                  <c:v>Unsupervised overnight</c:v>
                </c:pt>
                <c:pt idx="1">
                  <c:v>Unsupervised daytime</c:v>
                </c:pt>
                <c:pt idx="2">
                  <c:v>Supervised/supported - professional</c:v>
                </c:pt>
                <c:pt idx="3">
                  <c:v>Supervised/supported - family/friend</c:v>
                </c:pt>
                <c:pt idx="4">
                  <c:v>Progression of contact</c:v>
                </c:pt>
                <c:pt idx="5">
                  <c:v>Indirect</c:v>
                </c:pt>
                <c:pt idx="6">
                  <c:v>No contact</c:v>
                </c:pt>
                <c:pt idx="7">
                  <c:v>No time with order</c:v>
                </c:pt>
              </c:strCache>
            </c:strRef>
          </c:cat>
          <c:val>
            <c:numRef>
              <c:f>'28. Final orders'!$H$25:$H$32</c:f>
              <c:numCache>
                <c:formatCode>0%</c:formatCode>
                <c:ptCount val="8"/>
                <c:pt idx="0">
                  <c:v>0.44247787610619471</c:v>
                </c:pt>
                <c:pt idx="1">
                  <c:v>7.9646017699115043E-2</c:v>
                </c:pt>
                <c:pt idx="2">
                  <c:v>3.9823008849557522E-2</c:v>
                </c:pt>
                <c:pt idx="3">
                  <c:v>4.8672566371681415E-2</c:v>
                </c:pt>
                <c:pt idx="4">
                  <c:v>0.16371681415929204</c:v>
                </c:pt>
                <c:pt idx="5">
                  <c:v>7.0796460176991149E-2</c:v>
                </c:pt>
                <c:pt idx="6">
                  <c:v>3.9823008849557522E-2</c:v>
                </c:pt>
                <c:pt idx="7">
                  <c:v>0.11504424778761062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4D-4F4B-9D95-099787E6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'28. Final orders'!$C$24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18F3-44BD-A20D-B6310076B3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18F3-44BD-A20D-B6310076B3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18F3-44BD-A20D-B6310076B3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18F3-44BD-A20D-B6310076B3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18F3-44BD-A20D-B6310076B3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18F3-44BD-A20D-B6310076B3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18F3-44BD-A20D-B6310076B35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18F3-44BD-A20D-B6310076B3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'28. Final orders'!$B$25:$B$32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'28. Final orders'!$C$25:$C$32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50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7</c:v>
                      </c:pt>
                      <c:pt idx="4">
                        <c:v>21</c:v>
                      </c:pt>
                      <c:pt idx="5">
                        <c:v>10</c:v>
                      </c:pt>
                      <c:pt idx="6">
                        <c:v>6</c:v>
                      </c:pt>
                      <c:pt idx="7">
                        <c:v>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4D-4F4B-9D95-099787E65B7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orders'!$D$24</c15:sqref>
                        </c15:formulaRef>
                      </c:ext>
                    </c:extLst>
                    <c:strCache>
                      <c:ptCount val="1"/>
                      <c:pt idx="0">
                        <c:v>Judges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8F3-44BD-A20D-B6310076B3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8F3-44BD-A20D-B6310076B3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8F3-44BD-A20D-B6310076B3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8F3-44BD-A20D-B6310076B3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8F3-44BD-A20D-B6310076B3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18F3-44BD-A20D-B6310076B3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18F3-44BD-A20D-B6310076B35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18F3-44BD-A20D-B6310076B354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orders'!$B$25:$B$32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orders'!$D$25:$D$32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0.42016806722689076</c:v>
                      </c:pt>
                      <c:pt idx="1">
                        <c:v>5.8823529411764705E-2</c:v>
                      </c:pt>
                      <c:pt idx="2">
                        <c:v>5.8823529411764705E-2</c:v>
                      </c:pt>
                      <c:pt idx="3">
                        <c:v>5.8823529411764705E-2</c:v>
                      </c:pt>
                      <c:pt idx="4">
                        <c:v>0.17647058823529413</c:v>
                      </c:pt>
                      <c:pt idx="5">
                        <c:v>8.4033613445378158E-2</c:v>
                      </c:pt>
                      <c:pt idx="6">
                        <c:v>5.0420168067226892E-2</c:v>
                      </c:pt>
                      <c:pt idx="7">
                        <c:v>9.2436974789915971E-2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4D-4F4B-9D95-099787E65B7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orders'!$E$24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18F3-44BD-A20D-B6310076B3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18F3-44BD-A20D-B6310076B3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18F3-44BD-A20D-B6310076B3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18F3-44BD-A20D-B6310076B3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18F3-44BD-A20D-B6310076B3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18F3-44BD-A20D-B6310076B3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8F3-44BD-A20D-B6310076B35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8F3-44BD-A20D-B6310076B354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orders'!$B$25:$B$32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orders'!$E$25:$E$32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50</c:v>
                      </c:pt>
                      <c:pt idx="1">
                        <c:v>11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16</c:v>
                      </c:pt>
                      <c:pt idx="5">
                        <c:v>6</c:v>
                      </c:pt>
                      <c:pt idx="6">
                        <c:v>3</c:v>
                      </c:pt>
                      <c:pt idx="7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34D-4F4B-9D95-099787E65B7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orders'!$F$24</c15:sqref>
                        </c15:formulaRef>
                      </c:ext>
                    </c:extLst>
                    <c:strCache>
                      <c:ptCount val="1"/>
                      <c:pt idx="0">
                        <c:v>Magistrates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8F3-44BD-A20D-B6310076B3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8F3-44BD-A20D-B6310076B3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8F3-44BD-A20D-B6310076B3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8F3-44BD-A20D-B6310076B3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18F3-44BD-A20D-B6310076B3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18F3-44BD-A20D-B6310076B3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18F3-44BD-A20D-B6310076B35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18F3-44BD-A20D-B6310076B354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orders'!$B$25:$B$32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orders'!$F$25:$F$32</c15:sqref>
                        </c15:formulaRef>
                      </c:ext>
                    </c:extLst>
                    <c:numCache>
                      <c:formatCode>0%</c:formatCode>
                      <c:ptCount val="8"/>
                      <c:pt idx="0">
                        <c:v>0.46728971962616822</c:v>
                      </c:pt>
                      <c:pt idx="1">
                        <c:v>0.10280373831775701</c:v>
                      </c:pt>
                      <c:pt idx="2">
                        <c:v>1.8691588785046728E-2</c:v>
                      </c:pt>
                      <c:pt idx="3">
                        <c:v>3.7383177570093455E-2</c:v>
                      </c:pt>
                      <c:pt idx="4">
                        <c:v>0.14953271028037382</c:v>
                      </c:pt>
                      <c:pt idx="5">
                        <c:v>5.6074766355140186E-2</c:v>
                      </c:pt>
                      <c:pt idx="6">
                        <c:v>2.8037383177570093E-2</c:v>
                      </c:pt>
                      <c:pt idx="7">
                        <c:v>0.14018691588785046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4D-4F4B-9D95-099787E65B7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orders'!$G$24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18F3-44BD-A20D-B6310076B3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18F3-44BD-A20D-B6310076B3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18F3-44BD-A20D-B6310076B3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18F3-44BD-A20D-B6310076B3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18F3-44BD-A20D-B6310076B3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8F3-44BD-A20D-B6310076B3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8F3-44BD-A20D-B6310076B35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8F3-44BD-A20D-B6310076B354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orders'!$B$25:$B$32</c15:sqref>
                        </c15:formulaRef>
                      </c:ext>
                    </c:extLst>
                    <c:strCache>
                      <c:ptCount val="8"/>
                      <c:pt idx="0">
                        <c:v>Unsupervised overnight</c:v>
                      </c:pt>
                      <c:pt idx="1">
                        <c:v>Unsupervised daytime</c:v>
                      </c:pt>
                      <c:pt idx="2">
                        <c:v>Supervised/supported - professional</c:v>
                      </c:pt>
                      <c:pt idx="3">
                        <c:v>Supervised/supported - family/friend</c:v>
                      </c:pt>
                      <c:pt idx="4">
                        <c:v>Progression of contact</c:v>
                      </c:pt>
                      <c:pt idx="5">
                        <c:v>Indirect</c:v>
                      </c:pt>
                      <c:pt idx="6">
                        <c:v>No contact</c:v>
                      </c:pt>
                      <c:pt idx="7">
                        <c:v>No time with order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'28. Final orders'!$G$25:$G$32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</c:v>
                      </c:pt>
                      <c:pt idx="1">
                        <c:v>18</c:v>
                      </c:pt>
                      <c:pt idx="2">
                        <c:v>9</c:v>
                      </c:pt>
                      <c:pt idx="3">
                        <c:v>11</c:v>
                      </c:pt>
                      <c:pt idx="4">
                        <c:v>37</c:v>
                      </c:pt>
                      <c:pt idx="5">
                        <c:v>16</c:v>
                      </c:pt>
                      <c:pt idx="6">
                        <c:v>9</c:v>
                      </c:pt>
                      <c:pt idx="7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4D-4F4B-9D95-099787E65B7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Section 7 recommendations</a:t>
            </a:r>
            <a:r>
              <a:rPr lang="en-GB" baseline="0"/>
              <a:t> by final 'time with' orders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'28. Final orders'!$B$75</c:f>
              <c:strCache>
                <c:ptCount val="1"/>
                <c:pt idx="0">
                  <c:v>Unsupervised daytime/overnight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'28. Final orders'!$C$74:$H$74</c15:sqref>
                  </c15:fullRef>
                </c:ext>
              </c:extLst>
              <c:f>('28. Final orders'!$D$74,'28. Final orders'!$F$74,'28. Final orders'!$H$74)</c:f>
              <c:strCache>
                <c:ptCount val="3"/>
                <c:pt idx="0">
                  <c:v>Unsupervised %</c:v>
                </c:pt>
                <c:pt idx="1">
                  <c:v>Supervised / supported %</c:v>
                </c:pt>
                <c:pt idx="2">
                  <c:v>No contact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'28. Final orders'!$C$75:$H$75</c15:sqref>
                  </c15:fullRef>
                </c:ext>
              </c:extLst>
              <c:f>('28. Final orders'!$D$75,'28. Final orders'!$F$75,'28. Final orders'!$H$75)</c:f>
              <c:numCache>
                <c:formatCode>0%</c:formatCode>
                <c:ptCount val="3"/>
                <c:pt idx="0">
                  <c:v>0.67073170731707321</c:v>
                </c:pt>
                <c:pt idx="1">
                  <c:v>0.15217391304347827</c:v>
                </c:pt>
                <c:pt idx="2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FC2-916F-1D8167222499}"/>
            </c:ext>
          </c:extLst>
        </c:ser>
        <c:ser>
          <c:idx val="1"/>
          <c:order val="1"/>
          <c:tx>
            <c:strRef>
              <c:f>'28. Final orders'!$B$76</c:f>
              <c:strCache>
                <c:ptCount val="1"/>
                <c:pt idx="0">
                  <c:v>Progression of contact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'28. Final orders'!$C$74:$H$74</c15:sqref>
                  </c15:fullRef>
                </c:ext>
              </c:extLst>
              <c:f>('28. Final orders'!$D$74,'28. Final orders'!$F$74,'28. Final orders'!$H$74)</c:f>
              <c:strCache>
                <c:ptCount val="3"/>
                <c:pt idx="0">
                  <c:v>Unsupervised %</c:v>
                </c:pt>
                <c:pt idx="1">
                  <c:v>Supervised / supported %</c:v>
                </c:pt>
                <c:pt idx="2">
                  <c:v>No contact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'28. Final orders'!$C$76:$H$76</c15:sqref>
                  </c15:fullRef>
                </c:ext>
              </c:extLst>
              <c:f>('28. Final orders'!$D$76,'28. Final orders'!$F$76,'28. Final orders'!$H$76)</c:f>
              <c:numCache>
                <c:formatCode>0%</c:formatCode>
                <c:ptCount val="3"/>
                <c:pt idx="0">
                  <c:v>0.2073170731707317</c:v>
                </c:pt>
                <c:pt idx="1">
                  <c:v>0.41304347826086957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8-4FC2-916F-1D8167222499}"/>
            </c:ext>
          </c:extLst>
        </c:ser>
        <c:ser>
          <c:idx val="2"/>
          <c:order val="2"/>
          <c:tx>
            <c:strRef>
              <c:f>'28. Final orders'!$B$77</c:f>
              <c:strCache>
                <c:ptCount val="1"/>
                <c:pt idx="0">
                  <c:v>Supervised/supported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'28. Final orders'!$C$74:$H$74</c15:sqref>
                  </c15:fullRef>
                </c:ext>
              </c:extLst>
              <c:f>('28. Final orders'!$D$74,'28. Final orders'!$F$74,'28. Final orders'!$H$74)</c:f>
              <c:strCache>
                <c:ptCount val="3"/>
                <c:pt idx="0">
                  <c:v>Unsupervised %</c:v>
                </c:pt>
                <c:pt idx="1">
                  <c:v>Supervised / supported %</c:v>
                </c:pt>
                <c:pt idx="2">
                  <c:v>No contact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'28. Final orders'!$C$77:$H$77</c15:sqref>
                  </c15:fullRef>
                </c:ext>
              </c:extLst>
              <c:f>('28. Final orders'!$D$77,'28. Final orders'!$F$77,'28. Final orders'!$H$77)</c:f>
              <c:numCache>
                <c:formatCode>0%</c:formatCode>
                <c:ptCount val="3"/>
                <c:pt idx="0">
                  <c:v>1.2195121951219513E-2</c:v>
                </c:pt>
                <c:pt idx="1">
                  <c:v>0.32608695652173914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8-4FC2-916F-1D8167222499}"/>
            </c:ext>
          </c:extLst>
        </c:ser>
        <c:ser>
          <c:idx val="3"/>
          <c:order val="3"/>
          <c:tx>
            <c:strRef>
              <c:f>'28. Final orders'!$B$78</c:f>
              <c:strCache>
                <c:ptCount val="1"/>
                <c:pt idx="0">
                  <c:v>Indirect / no contact</c:v>
                </c:pt>
              </c:strCache>
            </c:strRef>
          </c:tx>
          <c:spPr>
            <a:solidFill>
              <a:srgbClr val="DF6979"/>
            </a:solidFill>
            <a:ln>
              <a:solidFill>
                <a:srgbClr val="DF6979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'28. Final orders'!$C$74:$H$74</c15:sqref>
                  </c15:fullRef>
                </c:ext>
              </c:extLst>
              <c:f>('28. Final orders'!$D$74,'28. Final orders'!$F$74,'28. Final orders'!$H$74)</c:f>
              <c:strCache>
                <c:ptCount val="3"/>
                <c:pt idx="0">
                  <c:v>Unsupervised %</c:v>
                </c:pt>
                <c:pt idx="1">
                  <c:v>Supervised / supported %</c:v>
                </c:pt>
                <c:pt idx="2">
                  <c:v>No contact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'28. Final orders'!$C$78:$H$78</c15:sqref>
                  </c15:fullRef>
                </c:ext>
              </c:extLst>
              <c:f>('28. Final orders'!$D$78,'28. Final orders'!$F$78,'28. Final orders'!$H$78)</c:f>
              <c:numCache>
                <c:formatCode>0%</c:formatCode>
                <c:ptCount val="3"/>
                <c:pt idx="0">
                  <c:v>2.4390243902439025E-2</c:v>
                </c:pt>
                <c:pt idx="1">
                  <c:v>6.5217391304347824E-2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8-4FC2-916F-1D8167222499}"/>
            </c:ext>
          </c:extLst>
        </c:ser>
        <c:ser>
          <c:idx val="4"/>
          <c:order val="4"/>
          <c:tx>
            <c:strRef>
              <c:f>'28. Final orders'!$B$79</c:f>
              <c:strCache>
                <c:ptCount val="1"/>
                <c:pt idx="0">
                  <c:v>No time with order</c:v>
                </c:pt>
              </c:strCache>
            </c:strRef>
          </c:tx>
          <c:spPr>
            <a:solidFill>
              <a:srgbClr val="156082"/>
            </a:solidFill>
            <a:ln>
              <a:solidFill>
                <a:srgbClr val="156082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'28. Final orders'!$C$74:$H$74</c15:sqref>
                  </c15:fullRef>
                </c:ext>
              </c:extLst>
              <c:f>('28. Final orders'!$D$74,'28. Final orders'!$F$74,'28. Final orders'!$H$74)</c:f>
              <c:strCache>
                <c:ptCount val="3"/>
                <c:pt idx="0">
                  <c:v>Unsupervised %</c:v>
                </c:pt>
                <c:pt idx="1">
                  <c:v>Supervised / supported %</c:v>
                </c:pt>
                <c:pt idx="2">
                  <c:v>No contact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'28. Final orders'!$C$79:$H$79</c15:sqref>
                  </c15:fullRef>
                </c:ext>
              </c:extLst>
              <c:f>('28. Final orders'!$D$79,'28. Final orders'!$F$79,'28. Final orders'!$H$79)</c:f>
              <c:numCache>
                <c:formatCode>0%</c:formatCode>
                <c:ptCount val="3"/>
                <c:pt idx="0">
                  <c:v>8.5365853658536592E-2</c:v>
                </c:pt>
                <c:pt idx="1">
                  <c:v>4.3478260869565216E-2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E8-4FC2-916F-1D816722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945768"/>
        <c:axId val="732946488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'28. Final orders'!$B$80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'28. Final orders'!$C$74:$H$74</c15:sqref>
                        </c15:fullRef>
                        <c15:formulaRef>
                          <c15:sqref>('28. Final orders'!$D$74,'28. Final orders'!$F$74,'28. Final orders'!$H$74)</c15:sqref>
                        </c15:formulaRef>
                      </c:ext>
                    </c:extLst>
                    <c:strCache>
                      <c:ptCount val="3"/>
                      <c:pt idx="0">
                        <c:v>Unsupervised %</c:v>
                      </c:pt>
                      <c:pt idx="1">
                        <c:v>Supervised / supported %</c:v>
                      </c:pt>
                      <c:pt idx="2">
                        <c:v>No contact 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'28. Final orders'!$C$80:$H$80</c15:sqref>
                        </c15:fullRef>
                        <c15:formulaRef>
                          <c15:sqref>('28. Final orders'!$D$80,'28. Final orders'!$F$80,'28. Final orders'!$H$80)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0E8-4FC2-916F-1D8167222499}"/>
                  </c:ext>
                </c:extLst>
              </c15:ser>
            </c15:filteredBarSeries>
          </c:ext>
        </c:extLst>
      </c:barChart>
      <c:catAx>
        <c:axId val="73294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732946488"/>
        <c:crosses val="autoZero"/>
        <c:auto val="1"/>
        <c:lblAlgn val="ctr"/>
        <c:lblOffset val="100"/>
        <c:noMultiLvlLbl val="0"/>
      </c:catAx>
      <c:valAx>
        <c:axId val="73294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94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Number of orders</a:t>
            </a:r>
            <a:r>
              <a:rPr lang="en-GB" baseline="0"/>
              <a:t> </a:t>
            </a:r>
            <a:r>
              <a:rPr lang="en-GB"/>
              <a:t>applied for by 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'5. Orders applied for'!$D$15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val>
            <c:numRef>
              <c:f>'5. Orders applied for'!$D$16:$D$18</c:f>
              <c:numCache>
                <c:formatCode>0%</c:formatCode>
                <c:ptCount val="3"/>
                <c:pt idx="0">
                  <c:v>0.52</c:v>
                </c:pt>
                <c:pt idx="1">
                  <c:v>0.36</c:v>
                </c:pt>
                <c:pt idx="2">
                  <c:v>0.12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094-434A-9A7E-893C5B506FB0}"/>
            </c:ext>
          </c:extLst>
        </c:ser>
        <c:ser>
          <c:idx val="4"/>
          <c:order val="4"/>
          <c:tx>
            <c:strRef>
              <c:f>'5. Orders applied for'!$F$15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val>
            <c:numRef>
              <c:f>'5. Orders applied for'!$F$16:$F$18</c:f>
              <c:numCache>
                <c:formatCode>0%</c:formatCode>
                <c:ptCount val="3"/>
                <c:pt idx="0">
                  <c:v>0.69</c:v>
                </c:pt>
                <c:pt idx="1">
                  <c:v>0.23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4-434A-9A7E-893C5B506FB0}"/>
            </c:ext>
          </c:extLst>
        </c:ser>
        <c:ser>
          <c:idx val="6"/>
          <c:order val="6"/>
          <c:tx>
            <c:strRef>
              <c:f>'5. Orders applied for'!$H$15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val>
            <c:numRef>
              <c:f>'5. Orders applied for'!$H$16:$H$18</c:f>
              <c:numCache>
                <c:formatCode>0%</c:formatCode>
                <c:ptCount val="3"/>
                <c:pt idx="0">
                  <c:v>0.60067114093959728</c:v>
                </c:pt>
                <c:pt idx="1">
                  <c:v>0.29865771812080538</c:v>
                </c:pt>
                <c:pt idx="2">
                  <c:v>0.10067114093959731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94-434A-9A7E-893C5B50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8059392"/>
        <c:axId val="868060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 Orders applied for'!$B$15</c15:sqref>
                        </c15:formulaRef>
                      </c:ext>
                    </c:extLst>
                    <c:strCache>
                      <c:ptCount val="1"/>
                      <c:pt idx="0">
                        <c:v>Number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'5. Orders applied for'!$B$16:$B$18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94-434A-9A7E-893C5B506FB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for'!$C$15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for'!$C$16:$C$18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78</c:v>
                      </c:pt>
                      <c:pt idx="1">
                        <c:v>55</c:v>
                      </c:pt>
                      <c:pt idx="2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094-434A-9A7E-893C5B506F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for'!$E$15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for'!$E$16:$E$18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101</c:v>
                      </c:pt>
                      <c:pt idx="1">
                        <c:v>34</c:v>
                      </c:pt>
                      <c:pt idx="2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094-434A-9A7E-893C5B506F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for'!$G$15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 Orders applied for'!$G$16:$G$18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179</c:v>
                      </c:pt>
                      <c:pt idx="1">
                        <c:v>89</c:v>
                      </c:pt>
                      <c:pt idx="2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094-434A-9A7E-893C5B506FB0}"/>
                  </c:ext>
                </c:extLst>
              </c15:ser>
            </c15:filteredBarSeries>
          </c:ext>
        </c:extLst>
      </c:barChart>
      <c:catAx>
        <c:axId val="8680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68060112"/>
        <c:crosses val="autoZero"/>
        <c:auto val="1"/>
        <c:lblAlgn val="ctr"/>
        <c:lblOffset val="100"/>
        <c:noMultiLvlLbl val="0"/>
      </c:catAx>
      <c:valAx>
        <c:axId val="86806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680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>
                <a:latin typeface="Poppins" panose="00000500000000000000" pitchFamily="2" charset="0"/>
                <a:cs typeface="Poppins" panose="00000500000000000000" pitchFamily="2" charset="0"/>
              </a:rPr>
              <a:t>Does the file contain evidence of Domestic Abuse?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Evidence of DA '!$B$4</c:f>
              <c:strCache>
                <c:ptCount val="1"/>
                <c:pt idx="0">
                  <c:v>Evidence of DA</c:v>
                </c:pt>
              </c:strCache>
            </c:strRef>
          </c:tx>
          <c:spPr>
            <a:solidFill>
              <a:srgbClr val="DF6979"/>
            </a:solidFill>
            <a:ln>
              <a:solidFill>
                <a:srgbClr val="DF6979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'7. Evidence of DA '!$C$3:$F$3</c15:sqref>
                  </c15:fullRef>
                </c:ext>
              </c:extLst>
              <c:f>('7. Evidence of DA '!$D$3,'7. Evidence of DA '!$F$3)</c:f>
              <c:strCache>
                <c:ptCount val="2"/>
                <c:pt idx="0">
                  <c:v>Judges %</c:v>
                </c:pt>
                <c:pt idx="1">
                  <c:v>Magistrates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Evidence of DA '!$C$4:$F$4</c15:sqref>
                  </c15:fullRef>
                </c:ext>
              </c:extLst>
              <c:f>('7. Evidence of DA '!$D$4,'7. Evidence of DA '!$F$4)</c:f>
              <c:numCache>
                <c:formatCode>0%</c:formatCode>
                <c:ptCount val="2"/>
                <c:pt idx="0">
                  <c:v>0.93</c:v>
                </c:pt>
                <c:pt idx="1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3-42FE-8126-6E1741D29D6B}"/>
            </c:ext>
          </c:extLst>
        </c:ser>
        <c:ser>
          <c:idx val="1"/>
          <c:order val="1"/>
          <c:tx>
            <c:strRef>
              <c:f>'7. Evidence of DA '!$B$5</c:f>
              <c:strCache>
                <c:ptCount val="1"/>
                <c:pt idx="0">
                  <c:v>No evidence of DA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'7. Evidence of DA '!$C$3:$F$3</c15:sqref>
                  </c15:fullRef>
                </c:ext>
              </c:extLst>
              <c:f>('7. Evidence of DA '!$D$3,'7. Evidence of DA '!$F$3)</c:f>
              <c:strCache>
                <c:ptCount val="2"/>
                <c:pt idx="0">
                  <c:v>Judges %</c:v>
                </c:pt>
                <c:pt idx="1">
                  <c:v>Magistrates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Evidence of DA '!$C$5:$F$5</c15:sqref>
                  </c15:fullRef>
                </c:ext>
              </c:extLst>
              <c:f>('7. Evidence of DA '!$D$5,'7. Evidence of DA '!$F$5)</c:f>
              <c:numCache>
                <c:formatCode>0%</c:formatCode>
                <c:ptCount val="2"/>
                <c:pt idx="0">
                  <c:v>7.0000000000000007E-2</c:v>
                </c:pt>
                <c:pt idx="1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3-42FE-8126-6E1741D29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6"/>
        <c:overlap val="-27"/>
        <c:axId val="726315336"/>
        <c:axId val="726315696"/>
      </c:barChart>
      <c:catAx>
        <c:axId val="72631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726315696"/>
        <c:crosses val="autoZero"/>
        <c:auto val="1"/>
        <c:lblAlgn val="ctr"/>
        <c:lblOffset val="100"/>
        <c:noMultiLvlLbl val="0"/>
      </c:catAx>
      <c:valAx>
        <c:axId val="72631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31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/>
              <a:t>Types of Domestic Abuse recorded in the file by</a:t>
            </a:r>
            <a:r>
              <a:rPr lang="en-US" baseline="0"/>
              <a:t> tier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'8. Types of DA'!$D$5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'8. Types of DA'!$B$6:$B$12</c:f>
              <c:strCache>
                <c:ptCount val="7"/>
                <c:pt idx="0">
                  <c:v>Psychological and emotional abuse</c:v>
                </c:pt>
                <c:pt idx="1">
                  <c:v>Physical abuse</c:v>
                </c:pt>
                <c:pt idx="2">
                  <c:v>Coercive and controlling behaviour</c:v>
                </c:pt>
                <c:pt idx="3">
                  <c:v>Violent/threatening behaviour</c:v>
                </c:pt>
                <c:pt idx="4">
                  <c:v>Economic/financial abuse</c:v>
                </c:pt>
                <c:pt idx="5">
                  <c:v>Sexual abuse</c:v>
                </c:pt>
                <c:pt idx="6">
                  <c:v>Other type of abuse</c:v>
                </c:pt>
              </c:strCache>
              <c:extLst/>
            </c:strRef>
          </c:cat>
          <c:val>
            <c:numRef>
              <c:f>'8. Types of DA'!$D$6:$D$12</c:f>
              <c:numCache>
                <c:formatCode>0%</c:formatCode>
                <c:ptCount val="7"/>
                <c:pt idx="0">
                  <c:v>0.79</c:v>
                </c:pt>
                <c:pt idx="1">
                  <c:v>0.64</c:v>
                </c:pt>
                <c:pt idx="2">
                  <c:v>0.35</c:v>
                </c:pt>
                <c:pt idx="3">
                  <c:v>0.33</c:v>
                </c:pt>
                <c:pt idx="4">
                  <c:v>0.18</c:v>
                </c:pt>
                <c:pt idx="5">
                  <c:v>0.18</c:v>
                </c:pt>
                <c:pt idx="6">
                  <c:v>0.02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C898-43CA-9474-196B2AF95DC4}"/>
            </c:ext>
          </c:extLst>
        </c:ser>
        <c:ser>
          <c:idx val="3"/>
          <c:order val="3"/>
          <c:tx>
            <c:strRef>
              <c:f>'8. Types of DA'!$F$5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f>'8. Types of DA'!$B$6:$B$12</c:f>
              <c:strCache>
                <c:ptCount val="7"/>
                <c:pt idx="0">
                  <c:v>Psychological and emotional abuse</c:v>
                </c:pt>
                <c:pt idx="1">
                  <c:v>Physical abuse</c:v>
                </c:pt>
                <c:pt idx="2">
                  <c:v>Coercive and controlling behaviour</c:v>
                </c:pt>
                <c:pt idx="3">
                  <c:v>Violent/threatening behaviour</c:v>
                </c:pt>
                <c:pt idx="4">
                  <c:v>Economic/financial abuse</c:v>
                </c:pt>
                <c:pt idx="5">
                  <c:v>Sexual abuse</c:v>
                </c:pt>
                <c:pt idx="6">
                  <c:v>Other type of abuse</c:v>
                </c:pt>
              </c:strCache>
              <c:extLst/>
            </c:strRef>
          </c:cat>
          <c:val>
            <c:numRef>
              <c:f>'8. Types of DA'!$F$6:$F$12</c:f>
              <c:numCache>
                <c:formatCode>0%</c:formatCode>
                <c:ptCount val="7"/>
                <c:pt idx="0">
                  <c:v>0.74</c:v>
                </c:pt>
                <c:pt idx="1">
                  <c:v>0.47</c:v>
                </c:pt>
                <c:pt idx="2">
                  <c:v>0.34</c:v>
                </c:pt>
                <c:pt idx="3">
                  <c:v>0.3</c:v>
                </c:pt>
                <c:pt idx="4">
                  <c:v>0.22</c:v>
                </c:pt>
                <c:pt idx="5">
                  <c:v>0.08</c:v>
                </c:pt>
                <c:pt idx="6">
                  <c:v>0.02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C898-43CA-9474-196B2AF95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009152"/>
        <c:axId val="100900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 Types of DA'!$C$5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'8. Types of DA'!$B$6:$B$12</c15:sqref>
                        </c15:formulaRef>
                      </c:ext>
                    </c:extLst>
                    <c:strCache>
                      <c:ptCount val="7"/>
                      <c:pt idx="0">
                        <c:v>Psychological and emotional abuse</c:v>
                      </c:pt>
                      <c:pt idx="1">
                        <c:v>Physical abuse</c:v>
                      </c:pt>
                      <c:pt idx="2">
                        <c:v>Coercive and controlling behaviour</c:v>
                      </c:pt>
                      <c:pt idx="3">
                        <c:v>Violent/threatening behaviour</c:v>
                      </c:pt>
                      <c:pt idx="4">
                        <c:v>Economic/financial abuse</c:v>
                      </c:pt>
                      <c:pt idx="5">
                        <c:v>Sexual abuse</c:v>
                      </c:pt>
                      <c:pt idx="6">
                        <c:v>Other type of abuse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'8. Types of DA'!$C$6:$C$12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110</c:v>
                      </c:pt>
                      <c:pt idx="1">
                        <c:v>89</c:v>
                      </c:pt>
                      <c:pt idx="2">
                        <c:v>49</c:v>
                      </c:pt>
                      <c:pt idx="3">
                        <c:v>46</c:v>
                      </c:pt>
                      <c:pt idx="4">
                        <c:v>25</c:v>
                      </c:pt>
                      <c:pt idx="5">
                        <c:v>25</c:v>
                      </c:pt>
                      <c:pt idx="6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898-43CA-9474-196B2AF95DC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Types of DA'!$E$5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Types of DA'!$B$6:$B$12</c15:sqref>
                        </c15:formulaRef>
                      </c:ext>
                    </c:extLst>
                    <c:strCache>
                      <c:ptCount val="7"/>
                      <c:pt idx="0">
                        <c:v>Psychological and emotional abuse</c:v>
                      </c:pt>
                      <c:pt idx="1">
                        <c:v>Physical abuse</c:v>
                      </c:pt>
                      <c:pt idx="2">
                        <c:v>Coercive and controlling behaviour</c:v>
                      </c:pt>
                      <c:pt idx="3">
                        <c:v>Violent/threatening behaviour</c:v>
                      </c:pt>
                      <c:pt idx="4">
                        <c:v>Economic/financial abuse</c:v>
                      </c:pt>
                      <c:pt idx="5">
                        <c:v>Sexual abuse</c:v>
                      </c:pt>
                      <c:pt idx="6">
                        <c:v>Other type of abuse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Types of DA'!$E$6:$E$12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88</c:v>
                      </c:pt>
                      <c:pt idx="1">
                        <c:v>56</c:v>
                      </c:pt>
                      <c:pt idx="2">
                        <c:v>41</c:v>
                      </c:pt>
                      <c:pt idx="3">
                        <c:v>36</c:v>
                      </c:pt>
                      <c:pt idx="4">
                        <c:v>26</c:v>
                      </c:pt>
                      <c:pt idx="5">
                        <c:v>10</c:v>
                      </c:pt>
                      <c:pt idx="6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898-43CA-9474-196B2AF95DC4}"/>
                  </c:ext>
                </c:extLst>
              </c15:ser>
            </c15:filteredBarSeries>
          </c:ext>
        </c:extLst>
      </c:barChart>
      <c:catAx>
        <c:axId val="10090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09009872"/>
        <c:crosses val="autoZero"/>
        <c:auto val="1"/>
        <c:lblAlgn val="ctr"/>
        <c:lblOffset val="100"/>
        <c:noMultiLvlLbl val="0"/>
      </c:catAx>
      <c:valAx>
        <c:axId val="100900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0900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types of domestic</a:t>
            </a:r>
            <a:r>
              <a:rPr lang="en-GB" baseline="0"/>
              <a:t> abuse recorded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'8. Types of DA'!$C$46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9A-4D70-B082-A4C257255777}"/>
              </c:ext>
            </c:extLst>
          </c:dPt>
          <c:dPt>
            <c:idx val="1"/>
            <c:bubble3D val="0"/>
            <c:spPr>
              <a:solidFill>
                <a:srgbClr val="DF69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9A-4D70-B082-A4C257255777}"/>
              </c:ext>
            </c:extLst>
          </c:dPt>
          <c:dPt>
            <c:idx val="2"/>
            <c:bubble3D val="0"/>
            <c:spPr>
              <a:solidFill>
                <a:srgbClr val="39B1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9A-4D70-B082-A4C257255777}"/>
              </c:ext>
            </c:extLst>
          </c:dPt>
          <c:dPt>
            <c:idx val="3"/>
            <c:bubble3D val="0"/>
            <c:spPr>
              <a:solidFill>
                <a:srgbClr val="E8974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9A-4D70-B082-A4C257255777}"/>
              </c:ext>
            </c:extLst>
          </c:dPt>
          <c:dPt>
            <c:idx val="4"/>
            <c:bubble3D val="0"/>
            <c:spPr>
              <a:solidFill>
                <a:srgbClr val="F0EEE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9A-4D70-B082-A4C2572557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9A-4D70-B082-A4C257255777}"/>
              </c:ext>
            </c:extLst>
          </c:dPt>
          <c:dPt>
            <c:idx val="6"/>
            <c:bubble3D val="0"/>
            <c:spPr>
              <a:solidFill>
                <a:srgbClr val="B8483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9A-4D70-B082-A4C257255777}"/>
              </c:ext>
            </c:extLst>
          </c:dPt>
          <c:cat>
            <c:strRef>
              <c:f>'8. Types of DA'!$B$47:$B$53</c:f>
              <c:strCache>
                <c:ptCount val="7"/>
                <c:pt idx="0">
                  <c:v>1 type </c:v>
                </c:pt>
                <c:pt idx="1">
                  <c:v>2 types</c:v>
                </c:pt>
                <c:pt idx="2">
                  <c:v>3 types</c:v>
                </c:pt>
                <c:pt idx="3">
                  <c:v>4 types</c:v>
                </c:pt>
                <c:pt idx="4">
                  <c:v>5 types</c:v>
                </c:pt>
                <c:pt idx="5">
                  <c:v>6 types</c:v>
                </c:pt>
                <c:pt idx="6">
                  <c:v>DA recorded but no type(s) specified</c:v>
                </c:pt>
              </c:strCache>
            </c:strRef>
          </c:cat>
          <c:val>
            <c:numRef>
              <c:f>'8. Types of DA'!$C$47:$C$53</c:f>
              <c:numCache>
                <c:formatCode>General</c:formatCode>
                <c:ptCount val="7"/>
                <c:pt idx="0">
                  <c:v>46</c:v>
                </c:pt>
                <c:pt idx="1">
                  <c:v>78</c:v>
                </c:pt>
                <c:pt idx="2">
                  <c:v>71</c:v>
                </c:pt>
                <c:pt idx="3">
                  <c:v>35</c:v>
                </c:pt>
                <c:pt idx="4">
                  <c:v>9</c:v>
                </c:pt>
                <c:pt idx="5">
                  <c:v>1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183-AA34-8F23314FCD08}"/>
            </c:ext>
          </c:extLst>
        </c:ser>
        <c:ser>
          <c:idx val="1"/>
          <c:order val="1"/>
          <c:tx>
            <c:strRef>
              <c:f>'8. Types of DA'!$D$46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9A-4D70-B082-A4C2572557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9A-4D70-B082-A4C2572557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9A-4D70-B082-A4C2572557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79A-4D70-B082-A4C2572557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79A-4D70-B082-A4C2572557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79A-4D70-B082-A4C25725577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79A-4D70-B082-A4C257255777}"/>
              </c:ext>
            </c:extLst>
          </c:dPt>
          <c:cat>
            <c:strRef>
              <c:f>'8. Types of DA'!$B$47:$B$53</c:f>
              <c:strCache>
                <c:ptCount val="7"/>
                <c:pt idx="0">
                  <c:v>1 type </c:v>
                </c:pt>
                <c:pt idx="1">
                  <c:v>2 types</c:v>
                </c:pt>
                <c:pt idx="2">
                  <c:v>3 types</c:v>
                </c:pt>
                <c:pt idx="3">
                  <c:v>4 types</c:v>
                </c:pt>
                <c:pt idx="4">
                  <c:v>5 types</c:v>
                </c:pt>
                <c:pt idx="5">
                  <c:v>6 types</c:v>
                </c:pt>
                <c:pt idx="6">
                  <c:v>DA recorded but no type(s) specified</c:v>
                </c:pt>
              </c:strCache>
            </c:strRef>
          </c:cat>
          <c:val>
            <c:numRef>
              <c:f>'8. Types of DA'!$D$47:$D$53</c:f>
              <c:numCache>
                <c:formatCode>0%</c:formatCode>
                <c:ptCount val="7"/>
                <c:pt idx="0">
                  <c:v>0.17760617760617761</c:v>
                </c:pt>
                <c:pt idx="1">
                  <c:v>0.30115830115830117</c:v>
                </c:pt>
                <c:pt idx="2">
                  <c:v>0.27413127413127414</c:v>
                </c:pt>
                <c:pt idx="3">
                  <c:v>0.13513513513513514</c:v>
                </c:pt>
                <c:pt idx="4">
                  <c:v>3.4749034749034749E-2</c:v>
                </c:pt>
                <c:pt idx="5">
                  <c:v>3.8610038610038611E-3</c:v>
                </c:pt>
                <c:pt idx="6">
                  <c:v>0.22393822393822393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183-AA34-8F23314F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MIAM exemptions claimed by 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'11. MIAMs and mediation'!$D$4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'11. MIAMs and mediation'!$B$5:$B$10</c:f>
              <c:strCache>
                <c:ptCount val="6"/>
                <c:pt idx="0">
                  <c:v>Domestic abuse</c:v>
                </c:pt>
                <c:pt idx="1">
                  <c:v>Urgency</c:v>
                </c:pt>
                <c:pt idx="2">
                  <c:v>Previous MIAM attendance</c:v>
                </c:pt>
                <c:pt idx="3">
                  <c:v>Child protection concerns</c:v>
                </c:pt>
                <c:pt idx="4">
                  <c:v>Other exemption</c:v>
                </c:pt>
                <c:pt idx="5">
                  <c:v>No exemption claimed</c:v>
                </c:pt>
              </c:strCache>
            </c:strRef>
          </c:cat>
          <c:val>
            <c:numRef>
              <c:f>'11. MIAMs and mediation'!$D$5:$D$10</c:f>
              <c:numCache>
                <c:formatCode>0%</c:formatCode>
                <c:ptCount val="6"/>
                <c:pt idx="0">
                  <c:v>0.32</c:v>
                </c:pt>
                <c:pt idx="1">
                  <c:v>0.36</c:v>
                </c:pt>
                <c:pt idx="2">
                  <c:v>0.12</c:v>
                </c:pt>
                <c:pt idx="3">
                  <c:v>0.12</c:v>
                </c:pt>
                <c:pt idx="4">
                  <c:v>0.17</c:v>
                </c:pt>
                <c:pt idx="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A-47D6-A1C9-E83E9BACBD08}"/>
            </c:ext>
          </c:extLst>
        </c:ser>
        <c:ser>
          <c:idx val="3"/>
          <c:order val="3"/>
          <c:tx>
            <c:strRef>
              <c:f>'11. MIAMs and mediation'!$F$4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f>'11. MIAMs and mediation'!$B$5:$B$10</c:f>
              <c:strCache>
                <c:ptCount val="6"/>
                <c:pt idx="0">
                  <c:v>Domestic abuse</c:v>
                </c:pt>
                <c:pt idx="1">
                  <c:v>Urgency</c:v>
                </c:pt>
                <c:pt idx="2">
                  <c:v>Previous MIAM attendance</c:v>
                </c:pt>
                <c:pt idx="3">
                  <c:v>Child protection concerns</c:v>
                </c:pt>
                <c:pt idx="4">
                  <c:v>Other exemption</c:v>
                </c:pt>
                <c:pt idx="5">
                  <c:v>No exemption claimed</c:v>
                </c:pt>
              </c:strCache>
            </c:strRef>
          </c:cat>
          <c:val>
            <c:numRef>
              <c:f>'11. MIAMs and mediation'!$F$5:$F$10</c:f>
              <c:numCache>
                <c:formatCode>0%</c:formatCode>
                <c:ptCount val="6"/>
                <c:pt idx="0">
                  <c:v>0.21</c:v>
                </c:pt>
                <c:pt idx="1">
                  <c:v>0.17</c:v>
                </c:pt>
                <c:pt idx="2">
                  <c:v>0.1</c:v>
                </c:pt>
                <c:pt idx="3">
                  <c:v>0.06</c:v>
                </c:pt>
                <c:pt idx="4">
                  <c:v>0.12</c:v>
                </c:pt>
                <c:pt idx="5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A-47D6-A1C9-E83E9BACBD08}"/>
            </c:ext>
          </c:extLst>
        </c:ser>
        <c:ser>
          <c:idx val="5"/>
          <c:order val="5"/>
          <c:tx>
            <c:strRef>
              <c:f>'11. MIAMs and mediation'!$H$4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  <a:prstDash val="solid"/>
            </a:ln>
            <a:effectLst/>
          </c:spPr>
          <c:invertIfNegative val="0"/>
          <c:cat>
            <c:strRef>
              <c:f>'11. MIAMs and mediation'!$B$5:$B$10</c:f>
              <c:strCache>
                <c:ptCount val="6"/>
                <c:pt idx="0">
                  <c:v>Domestic abuse</c:v>
                </c:pt>
                <c:pt idx="1">
                  <c:v>Urgency</c:v>
                </c:pt>
                <c:pt idx="2">
                  <c:v>Previous MIAM attendance</c:v>
                </c:pt>
                <c:pt idx="3">
                  <c:v>Child protection concerns</c:v>
                </c:pt>
                <c:pt idx="4">
                  <c:v>Other exemption</c:v>
                </c:pt>
                <c:pt idx="5">
                  <c:v>No exemption claimed</c:v>
                </c:pt>
              </c:strCache>
            </c:strRef>
          </c:cat>
          <c:val>
            <c:numRef>
              <c:f>'11. MIAMs and mediation'!$H$5:$H$10</c:f>
              <c:numCache>
                <c:formatCode>0%</c:formatCode>
                <c:ptCount val="6"/>
                <c:pt idx="0">
                  <c:v>0.27</c:v>
                </c:pt>
                <c:pt idx="1">
                  <c:v>0.27</c:v>
                </c:pt>
                <c:pt idx="2">
                  <c:v>0.11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A-47D6-A1C9-E83E9BAC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5450928"/>
        <c:axId val="865452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'11. MIAMs and mediation'!$C$4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'11. MIAMs and mediation'!$B$5:$B$10</c15:sqref>
                        </c15:formulaRef>
                      </c:ext>
                    </c:extLst>
                    <c:strCache>
                      <c:ptCount val="6"/>
                      <c:pt idx="0">
                        <c:v>Domestic abuse</c:v>
                      </c:pt>
                      <c:pt idx="1">
                        <c:v>Urgency</c:v>
                      </c:pt>
                      <c:pt idx="2">
                        <c:v>Previous MIAM attendance</c:v>
                      </c:pt>
                      <c:pt idx="3">
                        <c:v>Child protection concerns</c:v>
                      </c:pt>
                      <c:pt idx="4">
                        <c:v>Other exemption</c:v>
                      </c:pt>
                      <c:pt idx="5">
                        <c:v>No exemption claimed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'11. MIAMs and mediation'!$C$5:$C$10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49</c:v>
                      </c:pt>
                      <c:pt idx="1">
                        <c:v>54</c:v>
                      </c:pt>
                      <c:pt idx="2">
                        <c:v>18</c:v>
                      </c:pt>
                      <c:pt idx="3">
                        <c:v>18</c:v>
                      </c:pt>
                      <c:pt idx="4">
                        <c:v>25</c:v>
                      </c:pt>
                      <c:pt idx="5">
                        <c:v>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76A-47D6-A1C9-E83E9BACBD0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mediation'!$E$4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mediation'!$B$5:$B$10</c15:sqref>
                        </c15:formulaRef>
                      </c:ext>
                    </c:extLst>
                    <c:strCache>
                      <c:ptCount val="6"/>
                      <c:pt idx="0">
                        <c:v>Domestic abuse</c:v>
                      </c:pt>
                      <c:pt idx="1">
                        <c:v>Urgency</c:v>
                      </c:pt>
                      <c:pt idx="2">
                        <c:v>Previous MIAM attendance</c:v>
                      </c:pt>
                      <c:pt idx="3">
                        <c:v>Child protection concerns</c:v>
                      </c:pt>
                      <c:pt idx="4">
                        <c:v>Other exemption</c:v>
                      </c:pt>
                      <c:pt idx="5">
                        <c:v>No exemption claimed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mediation'!$E$5:$E$10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31</c:v>
                      </c:pt>
                      <c:pt idx="1">
                        <c:v>25</c:v>
                      </c:pt>
                      <c:pt idx="2">
                        <c:v>14</c:v>
                      </c:pt>
                      <c:pt idx="3">
                        <c:v>9</c:v>
                      </c:pt>
                      <c:pt idx="4">
                        <c:v>8</c:v>
                      </c:pt>
                      <c:pt idx="5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76A-47D6-A1C9-E83E9BACBD0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mediation'!$G$4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mediation'!$B$5:$B$10</c15:sqref>
                        </c15:formulaRef>
                      </c:ext>
                    </c:extLst>
                    <c:strCache>
                      <c:ptCount val="6"/>
                      <c:pt idx="0">
                        <c:v>Domestic abuse</c:v>
                      </c:pt>
                      <c:pt idx="1">
                        <c:v>Urgency</c:v>
                      </c:pt>
                      <c:pt idx="2">
                        <c:v>Previous MIAM attendance</c:v>
                      </c:pt>
                      <c:pt idx="3">
                        <c:v>Child protection concerns</c:v>
                      </c:pt>
                      <c:pt idx="4">
                        <c:v>Other exemption</c:v>
                      </c:pt>
                      <c:pt idx="5">
                        <c:v>No exemption claimed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mediation'!$G$5:$G$10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80</c:v>
                      </c:pt>
                      <c:pt idx="1">
                        <c:v>79</c:v>
                      </c:pt>
                      <c:pt idx="2">
                        <c:v>32</c:v>
                      </c:pt>
                      <c:pt idx="3">
                        <c:v>27</c:v>
                      </c:pt>
                      <c:pt idx="4">
                        <c:v>43</c:v>
                      </c:pt>
                      <c:pt idx="5">
                        <c:v>103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6A-47D6-A1C9-E83E9BACBD08}"/>
                  </c:ext>
                </c:extLst>
              </c15:ser>
            </c15:filteredBarSeries>
          </c:ext>
        </c:extLst>
      </c:barChart>
      <c:catAx>
        <c:axId val="86545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865452368"/>
        <c:crosses val="autoZero"/>
        <c:auto val="1"/>
        <c:lblAlgn val="ctr"/>
        <c:lblOffset val="100"/>
        <c:noMultiLvlLbl val="0"/>
      </c:catAx>
      <c:valAx>
        <c:axId val="86545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86545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r>
              <a:rPr lang="en-GB"/>
              <a:t>MIAM</a:t>
            </a:r>
            <a:r>
              <a:rPr lang="en-GB" baseline="0"/>
              <a:t> exemptions claimed by gender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'11. MIAMs and mediation'!$D$16</c:f>
              <c:strCache>
                <c:ptCount val="1"/>
                <c:pt idx="0">
                  <c:v>Mother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  <a:prstDash val="solid"/>
            </a:ln>
            <a:effectLst/>
          </c:spPr>
          <c:invertIfNegative val="0"/>
          <c:cat>
            <c:strRef>
              <c:f>'11. MIAMs and mediation'!$B$17:$B$22</c:f>
              <c:strCache>
                <c:ptCount val="6"/>
                <c:pt idx="0">
                  <c:v>Domestic abuse</c:v>
                </c:pt>
                <c:pt idx="1">
                  <c:v>Urgency</c:v>
                </c:pt>
                <c:pt idx="2">
                  <c:v>Previous MIAM attendance</c:v>
                </c:pt>
                <c:pt idx="3">
                  <c:v>Child protection concerns</c:v>
                </c:pt>
                <c:pt idx="4">
                  <c:v>Other exemption</c:v>
                </c:pt>
                <c:pt idx="5">
                  <c:v>No exemption claimed</c:v>
                </c:pt>
              </c:strCache>
            </c:strRef>
          </c:cat>
          <c:val>
            <c:numRef>
              <c:f>'11. MIAMs and mediation'!$D$17:$D$22</c:f>
              <c:numCache>
                <c:formatCode>0%</c:formatCode>
                <c:ptCount val="6"/>
                <c:pt idx="0">
                  <c:v>0.44</c:v>
                </c:pt>
                <c:pt idx="1">
                  <c:v>0.38</c:v>
                </c:pt>
                <c:pt idx="2">
                  <c:v>0.08</c:v>
                </c:pt>
                <c:pt idx="3">
                  <c:v>0.08</c:v>
                </c:pt>
                <c:pt idx="4">
                  <c:v>0.12</c:v>
                </c:pt>
                <c:pt idx="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0-48A8-BCFC-E65E82DFCF96}"/>
            </c:ext>
          </c:extLst>
        </c:ser>
        <c:ser>
          <c:idx val="3"/>
          <c:order val="3"/>
          <c:tx>
            <c:strRef>
              <c:f>'11. MIAMs and mediation'!$F$16</c:f>
              <c:strCache>
                <c:ptCount val="1"/>
                <c:pt idx="0">
                  <c:v>Father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  <a:prstDash val="solid"/>
            </a:ln>
            <a:effectLst/>
          </c:spPr>
          <c:invertIfNegative val="0"/>
          <c:cat>
            <c:strRef>
              <c:f>'11. MIAMs and mediation'!$B$17:$B$22</c:f>
              <c:strCache>
                <c:ptCount val="6"/>
                <c:pt idx="0">
                  <c:v>Domestic abuse</c:v>
                </c:pt>
                <c:pt idx="1">
                  <c:v>Urgency</c:v>
                </c:pt>
                <c:pt idx="2">
                  <c:v>Previous MIAM attendance</c:v>
                </c:pt>
                <c:pt idx="3">
                  <c:v>Child protection concerns</c:v>
                </c:pt>
                <c:pt idx="4">
                  <c:v>Other exemption</c:v>
                </c:pt>
                <c:pt idx="5">
                  <c:v>No exemption claimed</c:v>
                </c:pt>
              </c:strCache>
            </c:strRef>
          </c:cat>
          <c:val>
            <c:numRef>
              <c:f>'11. MIAMs and mediation'!$F$17:$F$22</c:f>
              <c:numCache>
                <c:formatCode>0%</c:formatCode>
                <c:ptCount val="6"/>
                <c:pt idx="0">
                  <c:v>0.17</c:v>
                </c:pt>
                <c:pt idx="1">
                  <c:v>0.19</c:v>
                </c:pt>
                <c:pt idx="2">
                  <c:v>0.13</c:v>
                </c:pt>
                <c:pt idx="3">
                  <c:v>0.09</c:v>
                </c:pt>
                <c:pt idx="4">
                  <c:v>0.15</c:v>
                </c:pt>
                <c:pt idx="5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30-48A8-BCFC-E65E82DF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4456712"/>
        <c:axId val="8244574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'11. MIAMs and mediation'!$C$16</c15:sqref>
                        </c15:formulaRef>
                      </c:ext>
                    </c:extLst>
                    <c:strCache>
                      <c:ptCount val="1"/>
                      <c:pt idx="0">
                        <c:v>Mother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'11. MIAMs and mediation'!$B$17:$B$22</c15:sqref>
                        </c15:formulaRef>
                      </c:ext>
                    </c:extLst>
                    <c:strCache>
                      <c:ptCount val="6"/>
                      <c:pt idx="0">
                        <c:v>Domestic abuse</c:v>
                      </c:pt>
                      <c:pt idx="1">
                        <c:v>Urgency</c:v>
                      </c:pt>
                      <c:pt idx="2">
                        <c:v>Previous MIAM attendance</c:v>
                      </c:pt>
                      <c:pt idx="3">
                        <c:v>Child protection concerns</c:v>
                      </c:pt>
                      <c:pt idx="4">
                        <c:v>Other exemption</c:v>
                      </c:pt>
                      <c:pt idx="5">
                        <c:v>No exemption claimed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'11. MIAMs and mediation'!$C$17:$C$22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52</c:v>
                      </c:pt>
                      <c:pt idx="1">
                        <c:v>45</c:v>
                      </c:pt>
                      <c:pt idx="2">
                        <c:v>9</c:v>
                      </c:pt>
                      <c:pt idx="3">
                        <c:v>9</c:v>
                      </c:pt>
                      <c:pt idx="4">
                        <c:v>14</c:v>
                      </c:pt>
                      <c:pt idx="5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30-48A8-BCFC-E65E82DFCF9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mediation'!$E$16</c15:sqref>
                        </c15:formulaRef>
                      </c:ext>
                    </c:extLst>
                    <c:strCache>
                      <c:ptCount val="1"/>
                      <c:pt idx="0">
                        <c:v>Father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mediation'!$B$17:$B$22</c15:sqref>
                        </c15:formulaRef>
                      </c:ext>
                    </c:extLst>
                    <c:strCache>
                      <c:ptCount val="6"/>
                      <c:pt idx="0">
                        <c:v>Domestic abuse</c:v>
                      </c:pt>
                      <c:pt idx="1">
                        <c:v>Urgency</c:v>
                      </c:pt>
                      <c:pt idx="2">
                        <c:v>Previous MIAM attendance</c:v>
                      </c:pt>
                      <c:pt idx="3">
                        <c:v>Child protection concerns</c:v>
                      </c:pt>
                      <c:pt idx="4">
                        <c:v>Other exemption</c:v>
                      </c:pt>
                      <c:pt idx="5">
                        <c:v>No exemption claimed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'11. MIAMs and mediation'!$E$17:$E$22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28</c:v>
                      </c:pt>
                      <c:pt idx="1">
                        <c:v>32</c:v>
                      </c:pt>
                      <c:pt idx="2">
                        <c:v>22</c:v>
                      </c:pt>
                      <c:pt idx="3">
                        <c:v>14</c:v>
                      </c:pt>
                      <c:pt idx="4">
                        <c:v>24</c:v>
                      </c:pt>
                      <c:pt idx="5">
                        <c:v>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30-48A8-BCFC-E65E82DFCF96}"/>
                  </c:ext>
                </c:extLst>
              </c15:ser>
            </c15:filteredBarSeries>
          </c:ext>
        </c:extLst>
      </c:barChart>
      <c:catAx>
        <c:axId val="82445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824457432"/>
        <c:crosses val="autoZero"/>
        <c:auto val="1"/>
        <c:lblAlgn val="ctr"/>
        <c:lblOffset val="100"/>
        <c:noMultiLvlLbl val="0"/>
      </c:catAx>
      <c:valAx>
        <c:axId val="82445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/>
                <a:ea typeface="Poppins"/>
                <a:cs typeface="Poppins"/>
              </a:defRPr>
            </a:pPr>
            <a:endParaRPr lang="en-US"/>
          </a:p>
        </c:txPr>
        <c:crossAx val="82445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/>
              <a:ea typeface="Poppins"/>
              <a:cs typeface="Poppin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Documents filed in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'12. Documents'!$D$4</c:f>
              <c:strCache>
                <c:ptCount val="1"/>
                <c:pt idx="0">
                  <c:v>% of cases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'12. Documents'!$B$5:$B$16</c:f>
              <c:strCache>
                <c:ptCount val="12"/>
                <c:pt idx="0">
                  <c:v>C100 application</c:v>
                </c:pt>
                <c:pt idx="1">
                  <c:v>FM1 MIAM attendance or exemption</c:v>
                </c:pt>
                <c:pt idx="2">
                  <c:v>C1A allegations of harm and DV</c:v>
                </c:pt>
                <c:pt idx="3">
                  <c:v>C7 response to application</c:v>
                </c:pt>
                <c:pt idx="4">
                  <c:v>C8 application to keep details confidential</c:v>
                </c:pt>
                <c:pt idx="5">
                  <c:v>C2 application within proceedings</c:v>
                </c:pt>
                <c:pt idx="6">
                  <c:v>C79 application for enforcement</c:v>
                </c:pt>
                <c:pt idx="7">
                  <c:v>Safeguarding letter</c:v>
                </c:pt>
                <c:pt idx="8">
                  <c:v>Section 7 report</c:v>
                </c:pt>
                <c:pt idx="9">
                  <c:v>Statement by mother</c:v>
                </c:pt>
                <c:pt idx="10">
                  <c:v>Statement by father</c:v>
                </c:pt>
                <c:pt idx="11">
                  <c:v>Statement by other</c:v>
                </c:pt>
              </c:strCache>
            </c:strRef>
          </c:cat>
          <c:val>
            <c:numRef>
              <c:f>'12. Documents'!$D$5:$D$16</c:f>
              <c:numCache>
                <c:formatCode>0%</c:formatCode>
                <c:ptCount val="12"/>
                <c:pt idx="0">
                  <c:v>0.93624161073825507</c:v>
                </c:pt>
                <c:pt idx="1">
                  <c:v>0.1476510067114094</c:v>
                </c:pt>
                <c:pt idx="2">
                  <c:v>0.59060402684563762</c:v>
                </c:pt>
                <c:pt idx="3">
                  <c:v>0.1476510067114094</c:v>
                </c:pt>
                <c:pt idx="4">
                  <c:v>0.20134228187919462</c:v>
                </c:pt>
                <c:pt idx="5">
                  <c:v>0.25503355704697989</c:v>
                </c:pt>
                <c:pt idx="6">
                  <c:v>2.6845637583892617E-2</c:v>
                </c:pt>
                <c:pt idx="7">
                  <c:v>0.96979865771812079</c:v>
                </c:pt>
                <c:pt idx="8">
                  <c:v>0.48322147651006714</c:v>
                </c:pt>
                <c:pt idx="9">
                  <c:v>0.6174496644295302</c:v>
                </c:pt>
                <c:pt idx="10">
                  <c:v>0.55704697986577179</c:v>
                </c:pt>
                <c:pt idx="11">
                  <c:v>7.0469798657718116E-2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0-4419-AB47-8364ABA2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4274416"/>
        <c:axId val="1074265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'12. Documents'!$C$4</c15:sqref>
                        </c15:formulaRef>
                      </c:ext>
                    </c:extLst>
                    <c:strCache>
                      <c:ptCount val="1"/>
                      <c:pt idx="0">
                        <c:v>Total cases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'12. Documents'!$B$5:$B$16</c15:sqref>
                        </c15:formulaRef>
                      </c:ext>
                    </c:extLst>
                    <c:strCache>
                      <c:ptCount val="12"/>
                      <c:pt idx="0">
                        <c:v>C100 application</c:v>
                      </c:pt>
                      <c:pt idx="1">
                        <c:v>FM1 MIAM attendance or exemption</c:v>
                      </c:pt>
                      <c:pt idx="2">
                        <c:v>C1A allegations of harm and DV</c:v>
                      </c:pt>
                      <c:pt idx="3">
                        <c:v>C7 response to application</c:v>
                      </c:pt>
                      <c:pt idx="4">
                        <c:v>C8 application to keep details confidential</c:v>
                      </c:pt>
                      <c:pt idx="5">
                        <c:v>C2 application within proceedings</c:v>
                      </c:pt>
                      <c:pt idx="6">
                        <c:v>C79 application for enforcement</c:v>
                      </c:pt>
                      <c:pt idx="7">
                        <c:v>Safeguarding letter</c:v>
                      </c:pt>
                      <c:pt idx="8">
                        <c:v>Section 7 report</c:v>
                      </c:pt>
                      <c:pt idx="9">
                        <c:v>Statement by mother</c:v>
                      </c:pt>
                      <c:pt idx="10">
                        <c:v>Statement by father</c:v>
                      </c:pt>
                      <c:pt idx="11">
                        <c:v>Statement by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'12. Documents'!$C$5:$C$16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279</c:v>
                      </c:pt>
                      <c:pt idx="1">
                        <c:v>44</c:v>
                      </c:pt>
                      <c:pt idx="2">
                        <c:v>176</c:v>
                      </c:pt>
                      <c:pt idx="3">
                        <c:v>44</c:v>
                      </c:pt>
                      <c:pt idx="4">
                        <c:v>60</c:v>
                      </c:pt>
                      <c:pt idx="5">
                        <c:v>76</c:v>
                      </c:pt>
                      <c:pt idx="6">
                        <c:v>8</c:v>
                      </c:pt>
                      <c:pt idx="7">
                        <c:v>289</c:v>
                      </c:pt>
                      <c:pt idx="8">
                        <c:v>144</c:v>
                      </c:pt>
                      <c:pt idx="9">
                        <c:v>184</c:v>
                      </c:pt>
                      <c:pt idx="10">
                        <c:v>166</c:v>
                      </c:pt>
                      <c:pt idx="11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500-4419-AB47-8364ABA22A45}"/>
                  </c:ext>
                </c:extLst>
              </c15:ser>
            </c15:filteredBarSeries>
          </c:ext>
        </c:extLst>
      </c:barChart>
      <c:catAx>
        <c:axId val="10742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65416"/>
        <c:crosses val="autoZero"/>
        <c:auto val="1"/>
        <c:lblAlgn val="ctr"/>
        <c:lblOffset val="100"/>
        <c:noMultiLvlLbl val="0"/>
      </c:catAx>
      <c:valAx>
        <c:axId val="107426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30</xdr:row>
      <xdr:rowOff>19050</xdr:rowOff>
    </xdr:from>
    <xdr:to>
      <xdr:col>5</xdr:col>
      <xdr:colOff>746125</xdr:colOff>
      <xdr:row>47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3ACDE-3F05-C2B5-61CA-5688293A6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</xdr:colOff>
      <xdr:row>13</xdr:row>
      <xdr:rowOff>84666</xdr:rowOff>
    </xdr:from>
    <xdr:to>
      <xdr:col>10</xdr:col>
      <xdr:colOff>110067</xdr:colOff>
      <xdr:row>42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77FB21-AA6B-43C8-8E5E-BA6CF7DA7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38100</xdr:rowOff>
    </xdr:from>
    <xdr:to>
      <xdr:col>13</xdr:col>
      <xdr:colOff>577850</xdr:colOff>
      <xdr:row>32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DA55B2-AC22-7F2D-E6B8-D9F7A9C54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518833</xdr:colOff>
      <xdr:row>10</xdr:row>
      <xdr:rowOff>111124</xdr:rowOff>
    </xdr:from>
    <xdr:to>
      <xdr:col>16</xdr:col>
      <xdr:colOff>525183</xdr:colOff>
      <xdr:row>27</xdr:row>
      <xdr:rowOff>175371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A6648C-598B-A776-6CC3-5FA84EE2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1045882</xdr:colOff>
      <xdr:row>40</xdr:row>
      <xdr:rowOff>167340</xdr:rowOff>
    </xdr:from>
    <xdr:to>
      <xdr:col>8</xdr:col>
      <xdr:colOff>59764</xdr:colOff>
      <xdr:row>60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285508-0F08-5FC3-EA4D-9AB7DE1DFC51}"/>
            </a:ext>
            <a:ext uri="{147F2762-F138-4A5C-976F-8EAC2B608ADB}">
              <a16:predDERef xmlns:a16="http://schemas.microsoft.com/office/drawing/2014/main" pred="{D2A6648C-598B-A776-6CC3-5FA84EE2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155575</xdr:colOff>
      <xdr:row>22</xdr:row>
      <xdr:rowOff>6350</xdr:rowOff>
    </xdr:from>
    <xdr:to>
      <xdr:col>3</xdr:col>
      <xdr:colOff>790575</xdr:colOff>
      <xdr:row>36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12B9B-BFDE-3541-6CC6-B71E93782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660400</xdr:colOff>
      <xdr:row>19</xdr:row>
      <xdr:rowOff>95250</xdr:rowOff>
    </xdr:from>
    <xdr:to>
      <xdr:col>7</xdr:col>
      <xdr:colOff>31749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D7477C-108A-0C21-CB76-9A48F926C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175480</xdr:colOff>
      <xdr:row>10</xdr:row>
      <xdr:rowOff>157043</xdr:rowOff>
    </xdr:from>
    <xdr:to>
      <xdr:col>16</xdr:col>
      <xdr:colOff>493663</xdr:colOff>
      <xdr:row>23</xdr:row>
      <xdr:rowOff>40968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CD6A3C-FEF7-853B-51B0-07466A2AB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161823</xdr:colOff>
      <xdr:row>23</xdr:row>
      <xdr:rowOff>174932</xdr:rowOff>
    </xdr:from>
    <xdr:to>
      <xdr:col>16</xdr:col>
      <xdr:colOff>480006</xdr:colOff>
      <xdr:row>38</xdr:row>
      <xdr:rowOff>152810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7CB520-2F77-8292-B00D-C1AEC61F5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332521</xdr:colOff>
      <xdr:row>5</xdr:row>
      <xdr:rowOff>215901</xdr:rowOff>
    </xdr:from>
    <xdr:to>
      <xdr:col>16</xdr:col>
      <xdr:colOff>43016</xdr:colOff>
      <xdr:row>19</xdr:row>
      <xdr:rowOff>111843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7F334E-A1A9-7E29-7EDD-C6C072C6A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366661</xdr:colOff>
      <xdr:row>20</xdr:row>
      <xdr:rowOff>99825</xdr:rowOff>
    </xdr:from>
    <xdr:to>
      <xdr:col>16</xdr:col>
      <xdr:colOff>77156</xdr:colOff>
      <xdr:row>35</xdr:row>
      <xdr:rowOff>77703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74FBA4-AE92-048D-0BC3-2DEA1F302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621344</xdr:colOff>
      <xdr:row>82</xdr:row>
      <xdr:rowOff>58857</xdr:rowOff>
    </xdr:from>
    <xdr:to>
      <xdr:col>9</xdr:col>
      <xdr:colOff>170699</xdr:colOff>
      <xdr:row>100</xdr:row>
      <xdr:rowOff>122903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8FCE04-016B-1D69-FE84-49FE0F232E7A}"/>
            </a:ext>
            <a:ext uri="{147F2762-F138-4A5C-976F-8EAC2B608ADB}">
              <a16:predDERef xmlns:a16="http://schemas.microsoft.com/office/drawing/2014/main" pred="{0574FBA4-AE92-048D-0BC3-2DEA1F302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288925</xdr:colOff>
      <xdr:row>1</xdr:row>
      <xdr:rowOff>82550</xdr:rowOff>
    </xdr:from>
    <xdr:to>
      <xdr:col>12</xdr:col>
      <xdr:colOff>593725</xdr:colOff>
      <xdr:row>13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2145A5-EEA7-8554-B8CB-DB5CE5726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244474</xdr:colOff>
      <xdr:row>21</xdr:row>
      <xdr:rowOff>25400</xdr:rowOff>
    </xdr:from>
    <xdr:to>
      <xdr:col>7</xdr:col>
      <xdr:colOff>247649</xdr:colOff>
      <xdr:row>38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522D5F-3A22-41C0-9F35-2AE2C37BC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7</xdr:row>
      <xdr:rowOff>209550</xdr:rowOff>
    </xdr:from>
    <xdr:to>
      <xdr:col>7</xdr:col>
      <xdr:colOff>171450</xdr:colOff>
      <xdr:row>23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75245C-E63B-46A7-8219-433B45C06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18</xdr:row>
      <xdr:rowOff>123825</xdr:rowOff>
    </xdr:from>
    <xdr:to>
      <xdr:col>10</xdr:col>
      <xdr:colOff>438150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DF5C6-7880-46E4-A99F-7B5E2BDA0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</xdr:colOff>
      <xdr:row>44</xdr:row>
      <xdr:rowOff>82550</xdr:rowOff>
    </xdr:from>
    <xdr:to>
      <xdr:col>12</xdr:col>
      <xdr:colOff>196850</xdr:colOff>
      <xdr:row>58</xdr:row>
      <xdr:rowOff>92075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E6AEC9-4950-8F68-E752-A6CE2B5363DC}"/>
            </a:ext>
            <a:ext uri="{147F2762-F138-4A5C-976F-8EAC2B608ADB}">
              <a16:predDERef xmlns:a16="http://schemas.microsoft.com/office/drawing/2014/main" pred="{05FDF5C6-7880-46E4-A99F-7B5E2BDA0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177800</xdr:rowOff>
    </xdr:from>
    <xdr:to>
      <xdr:col>16</xdr:col>
      <xdr:colOff>304800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DCE78A-DAF0-40B2-965D-CE55ED4D9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355600</xdr:colOff>
      <xdr:row>21</xdr:row>
      <xdr:rowOff>63500</xdr:rowOff>
    </xdr:from>
    <xdr:to>
      <xdr:col>14</xdr:col>
      <xdr:colOff>419100</xdr:colOff>
      <xdr:row>34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479BE5-9358-5D8A-7842-C7F874C6C325}"/>
            </a:ext>
            <a:ext uri="{147F2762-F138-4A5C-976F-8EAC2B608ADB}">
              <a16:predDERef xmlns:a16="http://schemas.microsoft.com/office/drawing/2014/main" pred="{7CDCE78A-DAF0-40B2-965D-CE55ED4D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</xdr:colOff>
      <xdr:row>18</xdr:row>
      <xdr:rowOff>107950</xdr:rowOff>
    </xdr:from>
    <xdr:to>
      <xdr:col>7</xdr:col>
      <xdr:colOff>19049</xdr:colOff>
      <xdr:row>40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D70000-B926-C654-4AF8-28E86DABF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183068</xdr:colOff>
      <xdr:row>1</xdr:row>
      <xdr:rowOff>253052</xdr:rowOff>
    </xdr:from>
    <xdr:to>
      <xdr:col>14</xdr:col>
      <xdr:colOff>364787</xdr:colOff>
      <xdr:row>21</xdr:row>
      <xdr:rowOff>6755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C2392F-85E7-2500-D618-6A845D04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10</xdr:row>
      <xdr:rowOff>63500</xdr:rowOff>
    </xdr:from>
    <xdr:to>
      <xdr:col>6</xdr:col>
      <xdr:colOff>0</xdr:colOff>
      <xdr:row>30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3D64B-5BD0-4EBA-4BB6-269234001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emary Hunter" id="{5DF0D785-2646-4CA3-826B-49D9199171F2}" userId="S::srrh@lunet.lboro.ac.uk::45200dcf-2ef1-4a79-8e02-dc0014710bb9" providerId="AD"/>
  <person displayName="emma.retter@domesticabusecommissioner.independent.gov.uk" id="{0BEB64D5-FA0F-499A-949D-BD61F01F2EE6}" userId="S::urn:spo:guest#emma.retter@domesticabusecommissioner.independent.gov.uk::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5-08-21T10:49:59.95" personId="{0BEB64D5-FA0F-499A-949D-BD61F01F2EE6}" id="{C47D47A0-41E4-4A02-8B66-CA066F009741}">
    <text>I have added the % - just calculated the % as it was missing -Rosemary if you were using other data tables etc please could you double check this</text>
  </threadedComment>
  <threadedComment ref="B16" dT="2025-08-22T12:55:22.13" personId="{5DF0D785-2646-4CA3-826B-49D9199171F2}" id="{00FD4544-B935-41F1-B1FD-2BFE757D3219}" parentId="{C47D47A0-41E4-4A02-8B66-CA066F009741}">
    <text>The %s were in the table I sent! I had amalgamated the ‘other’ %s (non-father/mother) to make a point about the total ‘others’, but it’s ok, we can leave it as is now.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1" dT="2025-08-21T11:14:18.97" personId="{0BEB64D5-FA0F-499A-949D-BD61F01F2EE6}" id="{D5308490-FF9A-4CA7-A02A-044D3C12A805}">
    <text xml:space="preserve">These numbers arent adding up - totals much higher than stated (336 vs 151 and 255 vs 147) which leads to the % being incorrect </text>
  </threadedComment>
  <threadedComment ref="B11" dT="2025-08-22T13:23:54.97" personId="{5DF0D785-2646-4CA3-826B-49D9199171F2}" id="{4E329F5F-4A5B-4E6A-BEE7-E5B625BA162D}" parentId="{D5308490-FF9A-4CA7-A02A-044D3C12A805}">
    <text>They don’t add up because there was more than one type of hearing in each case! The %s show the proportion of cases that had that type of hearing. But have added extra columns for number and % of hearings. Also found an error in the numbers in the table so have corrected that too!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" dT="2025-08-21T14:26:17.65" personId="{0BEB64D5-FA0F-499A-949D-BD61F01F2EE6}" id="{C60C3D89-B5DD-4EB3-91DF-16B568FFC670}">
    <text>I think the 'went ahead' column is missing- so the data at the bottom of page 17 is incorrect</text>
  </threadedComment>
  <threadedComment ref="B2" dT="2025-08-22T13:40:04.89" personId="{5DF0D785-2646-4CA3-826B-49D9199171F2}" id="{770F6B2F-3FA2-438E-9DA7-14D3468AB352}" parentId="{C60C3D89-B5DD-4EB3-91DF-16B568FFC670}">
    <text>‘Went ahead’ isn’t relevant in this context. The issue is whether a SS was ordered in considering or preparing for a FFH.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5-08-21T15:34:01.33" personId="{0BEB64D5-FA0F-499A-949D-BD61F01F2EE6}" id="{BCDA09C6-AE76-41D4-9809-5848C4473D76}">
    <text>Please see page 25 para 2 - we've said 15 out of 32 cases involving FFH or final - i think this is more like 73, not 32 as stated?</text>
  </threadedComment>
  <threadedComment ref="B2" dT="2025-08-22T14:13:21.49" personId="{5DF0D785-2646-4CA3-826B-49D9199171F2}" id="{5CB92FB8-D839-4E36-AA1A-2D1A6B869559}" parentId="{BCDA09C6-AE76-41D4-9809-5848C4473D76}">
    <text>It is 15 out of 32 cases with at least one LiP… This is the sum of Tables 19d and 24d. However I have also added rows to Tables 19b and 24b to clarify.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" dT="2025-08-21T15:53:33.52" personId="{0BEB64D5-FA0F-499A-949D-BD61F01F2EE6}" id="{E161A68D-B556-4AE4-A06C-325CEC1CB00D}">
    <text>we have a table in the report (p45) with interim orders but we dont have these in the appendix?</text>
  </threadedComment>
  <threadedComment ref="B1" dT="2025-08-22T14:41:04.92" personId="{5DF0D785-2646-4CA3-826B-49D9199171F2}" id="{2FD73A1B-5822-45ED-B9AF-4B82E744A3E6}" parentId="{E161A68D-B556-4AE4-A06C-325CEC1CB00D}">
    <text>Yes - they are at tab 26!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2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6.xml"/><Relationship Id="rId4" Type="http://schemas.microsoft.com/office/2017/10/relationships/threadedComment" Target="../threadedComments/threadedComment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0BFF-BF88-4D1A-B551-9AC7F2E5A064}">
  <dimension ref="B2:I29"/>
  <sheetViews>
    <sheetView topLeftCell="A18" workbookViewId="0">
      <selection activeCell="I25" sqref="I25"/>
    </sheetView>
  </sheetViews>
  <sheetFormatPr defaultColWidth="9.1796875" defaultRowHeight="20" x14ac:dyDescent="0.85"/>
  <cols>
    <col min="1" max="1" width="9.1796875" style="1"/>
    <col min="2" max="2" width="20.1796875" style="1" customWidth="1"/>
    <col min="3" max="3" width="18.08984375" style="1" customWidth="1"/>
    <col min="4" max="4" width="15" style="1" customWidth="1"/>
    <col min="5" max="5" width="14.453125" style="1" customWidth="1"/>
    <col min="6" max="6" width="14" style="1" customWidth="1"/>
    <col min="7" max="16384" width="9.1796875" style="1"/>
  </cols>
  <sheetData>
    <row r="2" spans="2:6" x14ac:dyDescent="0.85">
      <c r="B2" s="1" t="s">
        <v>0</v>
      </c>
    </row>
    <row r="4" spans="2:6" ht="40" x14ac:dyDescent="0.85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</row>
    <row r="5" spans="2:6" x14ac:dyDescent="0.85">
      <c r="B5" s="4" t="s">
        <v>6</v>
      </c>
      <c r="C5" s="2" t="s">
        <v>7</v>
      </c>
      <c r="D5" s="2">
        <v>389</v>
      </c>
      <c r="E5" s="2">
        <v>50</v>
      </c>
      <c r="F5" s="5">
        <v>0.129</v>
      </c>
    </row>
    <row r="6" spans="2:6" x14ac:dyDescent="0.85">
      <c r="B6" s="6"/>
      <c r="C6" s="2" t="s">
        <v>8</v>
      </c>
      <c r="D6" s="2">
        <v>293</v>
      </c>
      <c r="E6" s="2">
        <v>50</v>
      </c>
      <c r="F6" s="5">
        <v>0.17100000000000001</v>
      </c>
    </row>
    <row r="7" spans="2:6" x14ac:dyDescent="0.85">
      <c r="B7" s="7"/>
      <c r="C7" s="2" t="s">
        <v>9</v>
      </c>
      <c r="D7" s="2">
        <v>682</v>
      </c>
      <c r="E7" s="2">
        <v>100</v>
      </c>
      <c r="F7" s="5">
        <v>0.14699999999999999</v>
      </c>
    </row>
    <row r="8" spans="2:6" x14ac:dyDescent="0.85">
      <c r="B8" s="4" t="s">
        <v>10</v>
      </c>
      <c r="C8" s="2" t="s">
        <v>7</v>
      </c>
      <c r="D8" s="2">
        <v>396</v>
      </c>
      <c r="E8" s="2">
        <v>49</v>
      </c>
      <c r="F8" s="5">
        <v>0.124</v>
      </c>
    </row>
    <row r="9" spans="2:6" x14ac:dyDescent="0.85">
      <c r="B9" s="6"/>
      <c r="C9" s="2" t="s">
        <v>8</v>
      </c>
      <c r="D9" s="2">
        <v>395</v>
      </c>
      <c r="E9" s="2">
        <v>50</v>
      </c>
      <c r="F9" s="5">
        <v>0.126</v>
      </c>
    </row>
    <row r="10" spans="2:6" x14ac:dyDescent="0.85">
      <c r="B10" s="6"/>
      <c r="C10" s="2" t="s">
        <v>9</v>
      </c>
      <c r="D10" s="2">
        <v>791</v>
      </c>
      <c r="E10" s="2">
        <v>99</v>
      </c>
      <c r="F10" s="5">
        <v>0.125</v>
      </c>
    </row>
    <row r="11" spans="2:6" x14ac:dyDescent="0.85">
      <c r="B11" s="4" t="s">
        <v>11</v>
      </c>
      <c r="C11" s="8" t="s">
        <v>7</v>
      </c>
      <c r="D11" s="2">
        <v>139</v>
      </c>
      <c r="E11" s="2">
        <v>52</v>
      </c>
      <c r="F11" s="5">
        <v>0.374</v>
      </c>
    </row>
    <row r="12" spans="2:6" x14ac:dyDescent="0.85">
      <c r="B12" s="6"/>
      <c r="C12" s="2" t="s">
        <v>8</v>
      </c>
      <c r="D12" s="2">
        <v>168</v>
      </c>
      <c r="E12" s="2">
        <v>47</v>
      </c>
      <c r="F12" s="5">
        <v>0.28000000000000003</v>
      </c>
    </row>
    <row r="13" spans="2:6" x14ac:dyDescent="0.85">
      <c r="B13" s="7"/>
      <c r="C13" s="2" t="s">
        <v>9</v>
      </c>
      <c r="D13" s="2">
        <v>309</v>
      </c>
      <c r="E13" s="2">
        <v>99</v>
      </c>
      <c r="F13" s="5">
        <v>0.32</v>
      </c>
    </row>
    <row r="14" spans="2:6" x14ac:dyDescent="0.85">
      <c r="B14" s="4" t="s">
        <v>9</v>
      </c>
      <c r="C14" s="2" t="s">
        <v>7</v>
      </c>
      <c r="D14" s="2">
        <v>924</v>
      </c>
      <c r="E14" s="2">
        <v>151</v>
      </c>
      <c r="F14" s="5">
        <v>0.16300000000000001</v>
      </c>
    </row>
    <row r="15" spans="2:6" x14ac:dyDescent="0.85">
      <c r="B15" s="6"/>
      <c r="C15" s="2" t="s">
        <v>8</v>
      </c>
      <c r="D15" s="2">
        <v>856</v>
      </c>
      <c r="E15" s="2">
        <v>147</v>
      </c>
      <c r="F15" s="5">
        <v>0.17199999999999999</v>
      </c>
    </row>
    <row r="16" spans="2:6" x14ac:dyDescent="0.85">
      <c r="B16" s="7"/>
      <c r="C16" s="2" t="s">
        <v>9</v>
      </c>
      <c r="D16" s="7">
        <v>1780</v>
      </c>
      <c r="E16" s="2">
        <v>298</v>
      </c>
      <c r="F16" s="5">
        <v>0.16700000000000001</v>
      </c>
    </row>
    <row r="19" spans="2:9" x14ac:dyDescent="0.85">
      <c r="B19" s="1" t="s">
        <v>12</v>
      </c>
    </row>
    <row r="21" spans="2:9" x14ac:dyDescent="0.85">
      <c r="B21" s="4" t="s">
        <v>1</v>
      </c>
      <c r="C21" s="2" t="s">
        <v>13</v>
      </c>
      <c r="D21" s="2" t="s">
        <v>14</v>
      </c>
      <c r="E21" s="2" t="s">
        <v>15</v>
      </c>
      <c r="F21" s="2" t="s">
        <v>16</v>
      </c>
    </row>
    <row r="22" spans="2:9" x14ac:dyDescent="0.85">
      <c r="B22" s="4" t="s">
        <v>6</v>
      </c>
      <c r="C22" s="2" t="s">
        <v>17</v>
      </c>
      <c r="D22" s="2">
        <v>75</v>
      </c>
      <c r="E22" s="2">
        <v>100</v>
      </c>
      <c r="F22" s="9">
        <v>0.75</v>
      </c>
    </row>
    <row r="23" spans="2:9" x14ac:dyDescent="0.85">
      <c r="B23" s="6"/>
      <c r="C23" s="2" t="s">
        <v>18</v>
      </c>
      <c r="D23" s="2">
        <v>5</v>
      </c>
      <c r="E23" s="2">
        <v>11</v>
      </c>
      <c r="F23" s="9">
        <v>0.45</v>
      </c>
    </row>
    <row r="24" spans="2:9" x14ac:dyDescent="0.85">
      <c r="B24" s="4" t="s">
        <v>10</v>
      </c>
      <c r="C24" s="2" t="s">
        <v>17</v>
      </c>
      <c r="D24" s="2">
        <v>66</v>
      </c>
      <c r="E24" s="2">
        <v>99</v>
      </c>
      <c r="F24" s="9">
        <v>0.67</v>
      </c>
    </row>
    <row r="25" spans="2:9" x14ac:dyDescent="0.85">
      <c r="B25" s="6"/>
      <c r="C25" s="2" t="s">
        <v>18</v>
      </c>
      <c r="D25" s="2">
        <v>7</v>
      </c>
      <c r="E25" s="2">
        <v>26</v>
      </c>
      <c r="F25" s="9">
        <v>0.27</v>
      </c>
    </row>
    <row r="26" spans="2:9" x14ac:dyDescent="0.85">
      <c r="B26" s="4" t="s">
        <v>11</v>
      </c>
      <c r="C26" s="2" t="s">
        <v>17</v>
      </c>
      <c r="D26" s="2">
        <v>67</v>
      </c>
      <c r="E26" s="2">
        <v>99</v>
      </c>
      <c r="F26" s="9">
        <v>0.68</v>
      </c>
    </row>
    <row r="27" spans="2:9" x14ac:dyDescent="0.85">
      <c r="B27" s="6"/>
      <c r="C27" s="2" t="s">
        <v>18</v>
      </c>
      <c r="D27" s="2">
        <v>7</v>
      </c>
      <c r="E27" s="2">
        <v>17</v>
      </c>
      <c r="F27" s="9">
        <v>0.41</v>
      </c>
    </row>
    <row r="28" spans="2:9" x14ac:dyDescent="0.85">
      <c r="B28" s="4" t="s">
        <v>9</v>
      </c>
      <c r="C28" s="2" t="s">
        <v>17</v>
      </c>
      <c r="D28" s="2">
        <v>208</v>
      </c>
      <c r="E28" s="2">
        <v>298</v>
      </c>
      <c r="F28" s="9">
        <v>0.7</v>
      </c>
      <c r="I28" s="44"/>
    </row>
    <row r="29" spans="2:9" x14ac:dyDescent="0.85">
      <c r="B29" s="66"/>
      <c r="C29" s="2" t="s">
        <v>18</v>
      </c>
      <c r="D29" s="2">
        <v>19</v>
      </c>
      <c r="E29" s="2">
        <v>54</v>
      </c>
      <c r="F29" s="9">
        <v>0.35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06F4-ECD1-450A-AA77-5F122B7BFFEF}">
  <dimension ref="B2:G15"/>
  <sheetViews>
    <sheetView topLeftCell="A13" workbookViewId="0">
      <selection activeCell="F20" sqref="F20"/>
    </sheetView>
  </sheetViews>
  <sheetFormatPr defaultColWidth="9.1796875" defaultRowHeight="20" x14ac:dyDescent="0.85"/>
  <cols>
    <col min="1" max="1" width="9.1796875" style="1"/>
    <col min="2" max="2" width="16.7265625" style="1" customWidth="1"/>
    <col min="3" max="3" width="20.26953125" style="1" bestFit="1" customWidth="1"/>
    <col min="4" max="4" width="19.1796875" style="1" bestFit="1" customWidth="1"/>
    <col min="5" max="5" width="27.7265625" style="1" bestFit="1" customWidth="1"/>
    <col min="6" max="6" width="18.26953125" style="1" bestFit="1" customWidth="1"/>
    <col min="7" max="16384" width="9.1796875" style="1"/>
  </cols>
  <sheetData>
    <row r="2" spans="2:7" x14ac:dyDescent="0.85">
      <c r="B2" s="1" t="s">
        <v>143</v>
      </c>
    </row>
    <row r="4" spans="2:7" x14ac:dyDescent="0.85">
      <c r="B4" s="2" t="s">
        <v>144</v>
      </c>
      <c r="C4" s="2" t="s">
        <v>145</v>
      </c>
      <c r="D4" s="13" t="s">
        <v>146</v>
      </c>
      <c r="E4" s="14" t="s">
        <v>147</v>
      </c>
      <c r="G4" s="44"/>
    </row>
    <row r="5" spans="2:7" x14ac:dyDescent="0.85">
      <c r="B5" s="2" t="s">
        <v>148</v>
      </c>
      <c r="C5" s="2">
        <v>3</v>
      </c>
      <c r="D5" s="2">
        <v>5</v>
      </c>
      <c r="E5" s="45" t="s">
        <v>149</v>
      </c>
    </row>
    <row r="6" spans="2:7" x14ac:dyDescent="0.85">
      <c r="B6" s="2" t="s">
        <v>150</v>
      </c>
      <c r="C6" s="2">
        <v>130</v>
      </c>
      <c r="D6" s="2">
        <v>146</v>
      </c>
      <c r="E6" s="43" t="s">
        <v>151</v>
      </c>
    </row>
    <row r="7" spans="2:7" x14ac:dyDescent="0.85">
      <c r="B7" s="2" t="s">
        <v>8</v>
      </c>
      <c r="C7" s="2">
        <v>165</v>
      </c>
      <c r="D7" s="2">
        <v>147</v>
      </c>
      <c r="E7" s="43" t="s">
        <v>152</v>
      </c>
    </row>
    <row r="10" spans="2:7" x14ac:dyDescent="0.85">
      <c r="B10" s="1" t="s">
        <v>153</v>
      </c>
    </row>
    <row r="12" spans="2:7" x14ac:dyDescent="0.85">
      <c r="B12" s="2"/>
      <c r="C12" s="2" t="s">
        <v>154</v>
      </c>
      <c r="D12" s="2" t="s">
        <v>155</v>
      </c>
      <c r="E12" s="2" t="s">
        <v>156</v>
      </c>
      <c r="F12" s="2" t="s">
        <v>157</v>
      </c>
    </row>
    <row r="13" spans="2:7" x14ac:dyDescent="0.85">
      <c r="B13" s="2" t="s">
        <v>158</v>
      </c>
      <c r="C13" s="2">
        <v>15</v>
      </c>
      <c r="D13" s="9">
        <v>0.17</v>
      </c>
      <c r="E13" s="2">
        <v>17</v>
      </c>
      <c r="F13" s="9">
        <v>0.08</v>
      </c>
    </row>
    <row r="14" spans="2:7" x14ac:dyDescent="0.85">
      <c r="B14" s="2" t="s">
        <v>159</v>
      </c>
      <c r="C14" s="2">
        <v>75</v>
      </c>
      <c r="D14" s="9">
        <v>0.83</v>
      </c>
      <c r="E14" s="2">
        <v>191</v>
      </c>
      <c r="F14" s="9">
        <v>0.92</v>
      </c>
    </row>
    <row r="15" spans="2:7" x14ac:dyDescent="0.85">
      <c r="B15" s="2" t="s">
        <v>9</v>
      </c>
      <c r="C15" s="2">
        <v>90</v>
      </c>
      <c r="D15" s="2"/>
      <c r="E15" s="2">
        <v>208</v>
      </c>
      <c r="F15" s="2"/>
    </row>
  </sheetData>
  <pageMargins left="0.7" right="0.7" top="0.75" bottom="0.75" header="0.3" footer="0.3"/>
  <ignoredErrors>
    <ignoredError sqref="E5: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9C24-10F6-461B-A565-3167C5BEAA5C}">
  <dimension ref="B2:H40"/>
  <sheetViews>
    <sheetView topLeftCell="A33" workbookViewId="0">
      <selection activeCell="E32" sqref="E32"/>
    </sheetView>
  </sheetViews>
  <sheetFormatPr defaultColWidth="9.1796875" defaultRowHeight="20" x14ac:dyDescent="0.85"/>
  <cols>
    <col min="1" max="1" width="9.1796875" style="1"/>
    <col min="2" max="2" width="31" style="1" customWidth="1"/>
    <col min="3" max="4" width="11.1796875" style="1" customWidth="1"/>
    <col min="5" max="5" width="13.453125" style="1" customWidth="1"/>
    <col min="6" max="6" width="13.54296875" style="1" customWidth="1"/>
    <col min="7" max="7" width="11.1796875" style="1" customWidth="1"/>
    <col min="8" max="8" width="12.1796875" style="1" customWidth="1"/>
    <col min="9" max="16384" width="9.1796875" style="1"/>
  </cols>
  <sheetData>
    <row r="2" spans="2:8" x14ac:dyDescent="0.85">
      <c r="B2" s="1" t="s">
        <v>160</v>
      </c>
    </row>
    <row r="4" spans="2:8" x14ac:dyDescent="0.85">
      <c r="B4" s="2" t="s">
        <v>161</v>
      </c>
      <c r="C4" s="2" t="s">
        <v>43</v>
      </c>
      <c r="D4" s="2" t="s">
        <v>44</v>
      </c>
      <c r="E4" s="2" t="s">
        <v>45</v>
      </c>
      <c r="F4" s="2" t="s">
        <v>46</v>
      </c>
      <c r="G4" s="2" t="s">
        <v>15</v>
      </c>
      <c r="H4" s="2" t="s">
        <v>88</v>
      </c>
    </row>
    <row r="5" spans="2:8" x14ac:dyDescent="0.85">
      <c r="B5" s="2" t="s">
        <v>162</v>
      </c>
      <c r="C5" s="2">
        <v>49</v>
      </c>
      <c r="D5" s="9">
        <v>0.32</v>
      </c>
      <c r="E5" s="2">
        <v>31</v>
      </c>
      <c r="F5" s="9">
        <v>0.21</v>
      </c>
      <c r="G5" s="2">
        <v>80</v>
      </c>
      <c r="H5" s="9">
        <v>0.27</v>
      </c>
    </row>
    <row r="6" spans="2:8" x14ac:dyDescent="0.85">
      <c r="B6" s="2" t="s">
        <v>163</v>
      </c>
      <c r="C6" s="2">
        <v>54</v>
      </c>
      <c r="D6" s="9">
        <v>0.36</v>
      </c>
      <c r="E6" s="2">
        <v>25</v>
      </c>
      <c r="F6" s="9">
        <v>0.17</v>
      </c>
      <c r="G6" s="2">
        <v>79</v>
      </c>
      <c r="H6" s="9">
        <v>0.27</v>
      </c>
    </row>
    <row r="7" spans="2:8" x14ac:dyDescent="0.85">
      <c r="B7" s="2" t="s">
        <v>164</v>
      </c>
      <c r="C7" s="2">
        <v>18</v>
      </c>
      <c r="D7" s="9">
        <v>0.12</v>
      </c>
      <c r="E7" s="2">
        <v>14</v>
      </c>
      <c r="F7" s="9">
        <v>0.1</v>
      </c>
      <c r="G7" s="2">
        <v>32</v>
      </c>
      <c r="H7" s="9">
        <v>0.11</v>
      </c>
    </row>
    <row r="8" spans="2:8" x14ac:dyDescent="0.85">
      <c r="B8" s="2" t="s">
        <v>165</v>
      </c>
      <c r="C8" s="2">
        <v>18</v>
      </c>
      <c r="D8" s="9">
        <v>0.12</v>
      </c>
      <c r="E8" s="2">
        <v>9</v>
      </c>
      <c r="F8" s="9">
        <v>0.06</v>
      </c>
      <c r="G8" s="2">
        <v>27</v>
      </c>
      <c r="H8" s="9">
        <v>0.09</v>
      </c>
    </row>
    <row r="9" spans="2:8" x14ac:dyDescent="0.85">
      <c r="B9" s="2" t="s">
        <v>166</v>
      </c>
      <c r="C9" s="2">
        <v>25</v>
      </c>
      <c r="D9" s="9">
        <v>0.17</v>
      </c>
      <c r="E9" s="2">
        <v>8</v>
      </c>
      <c r="F9" s="9">
        <v>0.12</v>
      </c>
      <c r="G9" s="2">
        <v>43</v>
      </c>
      <c r="H9" s="9">
        <v>0.14000000000000001</v>
      </c>
    </row>
    <row r="10" spans="2:8" x14ac:dyDescent="0.85">
      <c r="B10" s="2" t="s">
        <v>167</v>
      </c>
      <c r="C10" s="2">
        <v>35</v>
      </c>
      <c r="D10" s="9">
        <v>0.23</v>
      </c>
      <c r="E10" s="2">
        <v>68</v>
      </c>
      <c r="F10" s="9">
        <v>0.46</v>
      </c>
      <c r="G10" s="2">
        <v>103</v>
      </c>
      <c r="H10" s="9">
        <v>0.35</v>
      </c>
    </row>
    <row r="11" spans="2:8" x14ac:dyDescent="0.85">
      <c r="B11" s="2" t="s">
        <v>120</v>
      </c>
      <c r="C11" s="2">
        <v>151</v>
      </c>
      <c r="D11" s="2"/>
      <c r="E11" s="2">
        <v>147</v>
      </c>
      <c r="F11" s="2"/>
      <c r="G11" s="2">
        <v>298</v>
      </c>
      <c r="H11" s="2"/>
    </row>
    <row r="14" spans="2:8" x14ac:dyDescent="0.85">
      <c r="B14" s="1" t="s">
        <v>168</v>
      </c>
    </row>
    <row r="16" spans="2:8" x14ac:dyDescent="0.85">
      <c r="B16" s="2" t="s">
        <v>161</v>
      </c>
      <c r="C16" s="2" t="s">
        <v>51</v>
      </c>
      <c r="D16" s="2" t="s">
        <v>52</v>
      </c>
      <c r="E16" s="2" t="s">
        <v>53</v>
      </c>
      <c r="F16" s="2" t="s">
        <v>54</v>
      </c>
    </row>
    <row r="17" spans="2:8" x14ac:dyDescent="0.85">
      <c r="B17" s="2" t="s">
        <v>162</v>
      </c>
      <c r="C17" s="2">
        <v>52</v>
      </c>
      <c r="D17" s="9">
        <v>0.44</v>
      </c>
      <c r="E17" s="2">
        <v>28</v>
      </c>
      <c r="F17" s="9">
        <v>0.17</v>
      </c>
      <c r="H17" s="46"/>
    </row>
    <row r="18" spans="2:8" x14ac:dyDescent="0.85">
      <c r="B18" s="2" t="s">
        <v>163</v>
      </c>
      <c r="C18" s="2">
        <v>45</v>
      </c>
      <c r="D18" s="9">
        <v>0.38</v>
      </c>
      <c r="E18" s="2">
        <v>32</v>
      </c>
      <c r="F18" s="9">
        <v>0.19</v>
      </c>
      <c r="H18" s="46"/>
    </row>
    <row r="19" spans="2:8" x14ac:dyDescent="0.85">
      <c r="B19" s="2" t="s">
        <v>164</v>
      </c>
      <c r="C19" s="2">
        <v>9</v>
      </c>
      <c r="D19" s="9">
        <v>0.08</v>
      </c>
      <c r="E19" s="2">
        <v>22</v>
      </c>
      <c r="F19" s="9">
        <v>0.13</v>
      </c>
      <c r="H19" s="46"/>
    </row>
    <row r="20" spans="2:8" x14ac:dyDescent="0.85">
      <c r="B20" s="2" t="s">
        <v>165</v>
      </c>
      <c r="C20" s="2">
        <v>9</v>
      </c>
      <c r="D20" s="9">
        <v>0.08</v>
      </c>
      <c r="E20" s="2">
        <v>14</v>
      </c>
      <c r="F20" s="9">
        <v>0.09</v>
      </c>
      <c r="H20" s="46"/>
    </row>
    <row r="21" spans="2:8" x14ac:dyDescent="0.85">
      <c r="B21" s="2" t="s">
        <v>166</v>
      </c>
      <c r="C21" s="2">
        <v>14</v>
      </c>
      <c r="D21" s="9">
        <v>0.12</v>
      </c>
      <c r="E21" s="2">
        <v>24</v>
      </c>
      <c r="F21" s="9">
        <v>0.15</v>
      </c>
      <c r="H21" s="46"/>
    </row>
    <row r="22" spans="2:8" x14ac:dyDescent="0.85">
      <c r="B22" s="2" t="s">
        <v>167</v>
      </c>
      <c r="C22" s="2">
        <v>25</v>
      </c>
      <c r="D22" s="9">
        <v>0.21</v>
      </c>
      <c r="E22" s="2">
        <v>74</v>
      </c>
      <c r="F22" s="9">
        <v>0.45</v>
      </c>
      <c r="H22" s="46"/>
    </row>
    <row r="23" spans="2:8" x14ac:dyDescent="0.85">
      <c r="B23" s="2" t="s">
        <v>120</v>
      </c>
      <c r="C23" s="2">
        <v>118</v>
      </c>
      <c r="D23" s="2"/>
      <c r="E23" s="2">
        <v>165</v>
      </c>
      <c r="F23" s="2"/>
    </row>
    <row r="28" spans="2:8" x14ac:dyDescent="0.85">
      <c r="B28" s="106" t="s">
        <v>169</v>
      </c>
      <c r="C28" s="106"/>
      <c r="D28" s="106"/>
    </row>
    <row r="29" spans="2:8" x14ac:dyDescent="0.85">
      <c r="B29" s="2" t="s">
        <v>170</v>
      </c>
      <c r="C29" s="2" t="s">
        <v>87</v>
      </c>
      <c r="D29" s="2" t="s">
        <v>21</v>
      </c>
    </row>
    <row r="30" spans="2:8" x14ac:dyDescent="0.85">
      <c r="B30" s="2" t="s">
        <v>171</v>
      </c>
      <c r="C30" s="2">
        <v>177</v>
      </c>
      <c r="D30" s="11">
        <f>C30/298</f>
        <v>0.59395973154362414</v>
      </c>
    </row>
    <row r="31" spans="2:8" x14ac:dyDescent="0.85">
      <c r="B31" s="2" t="s">
        <v>172</v>
      </c>
      <c r="C31" s="2">
        <v>76</v>
      </c>
      <c r="D31" s="11">
        <f>C31/298</f>
        <v>0.25503355704697989</v>
      </c>
    </row>
    <row r="32" spans="2:8" x14ac:dyDescent="0.85">
      <c r="B32" s="2" t="s">
        <v>173</v>
      </c>
      <c r="C32" s="2">
        <v>34</v>
      </c>
      <c r="D32" s="11">
        <f>C32/298</f>
        <v>0.11409395973154363</v>
      </c>
    </row>
    <row r="33" spans="2:4" x14ac:dyDescent="0.85">
      <c r="B33" s="2" t="s">
        <v>9</v>
      </c>
      <c r="C33" s="2">
        <v>298</v>
      </c>
      <c r="D33" s="2"/>
    </row>
    <row r="36" spans="2:4" x14ac:dyDescent="0.85">
      <c r="B36" s="1" t="s">
        <v>174</v>
      </c>
    </row>
    <row r="38" spans="2:4" x14ac:dyDescent="0.85">
      <c r="B38" s="2"/>
      <c r="C38" s="2" t="s">
        <v>87</v>
      </c>
      <c r="D38" s="2" t="s">
        <v>21</v>
      </c>
    </row>
    <row r="39" spans="2:4" x14ac:dyDescent="0.85">
      <c r="B39" s="2" t="s">
        <v>175</v>
      </c>
      <c r="C39" s="2">
        <v>16</v>
      </c>
      <c r="D39" s="9">
        <v>0.05</v>
      </c>
    </row>
    <row r="40" spans="2:4" x14ac:dyDescent="0.85">
      <c r="B40" s="2" t="s">
        <v>176</v>
      </c>
      <c r="C40" s="2">
        <v>282</v>
      </c>
      <c r="D40" s="9">
        <v>0.95</v>
      </c>
    </row>
  </sheetData>
  <sortState xmlns:xlrd2="http://schemas.microsoft.com/office/spreadsheetml/2017/richdata2" ref="B30:D32">
    <sortCondition descending="1" ref="D29:D32"/>
  </sortState>
  <mergeCells count="1">
    <mergeCell ref="B28:D2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856D-03A0-4A4C-A2A0-37759963A6A2}">
  <dimension ref="B2:D17"/>
  <sheetViews>
    <sheetView workbookViewId="0">
      <selection activeCell="H5" sqref="H5"/>
    </sheetView>
  </sheetViews>
  <sheetFormatPr defaultRowHeight="14.5" x14ac:dyDescent="0.35"/>
  <cols>
    <col min="2" max="2" width="34.54296875" customWidth="1"/>
    <col min="3" max="3" width="11" customWidth="1"/>
    <col min="4" max="4" width="13" customWidth="1"/>
  </cols>
  <sheetData>
    <row r="2" spans="2:4" x14ac:dyDescent="0.35">
      <c r="B2" t="s">
        <v>400</v>
      </c>
    </row>
    <row r="4" spans="2:4" x14ac:dyDescent="0.35">
      <c r="B4" s="98" t="s">
        <v>389</v>
      </c>
      <c r="C4" s="98" t="s">
        <v>120</v>
      </c>
      <c r="D4" s="98" t="s">
        <v>80</v>
      </c>
    </row>
    <row r="5" spans="2:4" x14ac:dyDescent="0.35">
      <c r="B5" s="99" t="s">
        <v>390</v>
      </c>
      <c r="C5" s="99">
        <v>279</v>
      </c>
      <c r="D5" s="100">
        <f t="shared" ref="D5:D16" si="0">C5/298</f>
        <v>0.93624161073825507</v>
      </c>
    </row>
    <row r="6" spans="2:4" x14ac:dyDescent="0.35">
      <c r="B6" s="99" t="s">
        <v>396</v>
      </c>
      <c r="C6" s="99">
        <v>44</v>
      </c>
      <c r="D6" s="100">
        <f t="shared" si="0"/>
        <v>0.1476510067114094</v>
      </c>
    </row>
    <row r="7" spans="2:4" x14ac:dyDescent="0.35">
      <c r="B7" s="99" t="s">
        <v>391</v>
      </c>
      <c r="C7" s="99">
        <v>176</v>
      </c>
      <c r="D7" s="100">
        <f t="shared" si="0"/>
        <v>0.59060402684563762</v>
      </c>
    </row>
    <row r="8" spans="2:4" x14ac:dyDescent="0.35">
      <c r="B8" s="99" t="s">
        <v>392</v>
      </c>
      <c r="C8" s="99">
        <v>44</v>
      </c>
      <c r="D8" s="100">
        <f t="shared" si="0"/>
        <v>0.1476510067114094</v>
      </c>
    </row>
    <row r="9" spans="2:4" x14ac:dyDescent="0.35">
      <c r="B9" s="99" t="s">
        <v>393</v>
      </c>
      <c r="C9" s="99">
        <v>60</v>
      </c>
      <c r="D9" s="100">
        <f t="shared" si="0"/>
        <v>0.20134228187919462</v>
      </c>
    </row>
    <row r="10" spans="2:4" x14ac:dyDescent="0.35">
      <c r="B10" s="99" t="s">
        <v>394</v>
      </c>
      <c r="C10" s="99">
        <v>76</v>
      </c>
      <c r="D10" s="100">
        <f t="shared" si="0"/>
        <v>0.25503355704697989</v>
      </c>
    </row>
    <row r="11" spans="2:4" x14ac:dyDescent="0.35">
      <c r="B11" s="99" t="s">
        <v>395</v>
      </c>
      <c r="C11" s="99">
        <v>8</v>
      </c>
      <c r="D11" s="100">
        <f t="shared" si="0"/>
        <v>2.6845637583892617E-2</v>
      </c>
    </row>
    <row r="12" spans="2:4" x14ac:dyDescent="0.35">
      <c r="B12" s="99" t="s">
        <v>106</v>
      </c>
      <c r="C12" s="99">
        <v>289</v>
      </c>
      <c r="D12" s="100">
        <f t="shared" si="0"/>
        <v>0.96979865771812079</v>
      </c>
    </row>
    <row r="13" spans="2:4" x14ac:dyDescent="0.35">
      <c r="B13" s="99" t="s">
        <v>109</v>
      </c>
      <c r="C13" s="99">
        <v>144</v>
      </c>
      <c r="D13" s="100">
        <f t="shared" si="0"/>
        <v>0.48322147651006714</v>
      </c>
    </row>
    <row r="14" spans="2:4" x14ac:dyDescent="0.35">
      <c r="B14" s="99" t="s">
        <v>397</v>
      </c>
      <c r="C14" s="99">
        <v>184</v>
      </c>
      <c r="D14" s="100">
        <f t="shared" si="0"/>
        <v>0.6174496644295302</v>
      </c>
    </row>
    <row r="15" spans="2:4" x14ac:dyDescent="0.35">
      <c r="B15" s="99" t="s">
        <v>398</v>
      </c>
      <c r="C15" s="99">
        <v>166</v>
      </c>
      <c r="D15" s="100">
        <f t="shared" si="0"/>
        <v>0.55704697986577179</v>
      </c>
    </row>
    <row r="16" spans="2:4" x14ac:dyDescent="0.35">
      <c r="B16" s="99" t="s">
        <v>399</v>
      </c>
      <c r="C16" s="99">
        <v>21</v>
      </c>
      <c r="D16" s="100">
        <f t="shared" si="0"/>
        <v>7.0469798657718116E-2</v>
      </c>
    </row>
    <row r="17" spans="2:4" x14ac:dyDescent="0.35">
      <c r="B17" s="99" t="s">
        <v>120</v>
      </c>
      <c r="C17" s="99">
        <v>298</v>
      </c>
      <c r="D17" s="99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25F6-0539-44D3-BBCF-B6F2C14FC510}">
  <dimension ref="B2:F48"/>
  <sheetViews>
    <sheetView topLeftCell="A23" zoomScale="94" workbookViewId="0">
      <selection activeCell="F30" sqref="F30"/>
    </sheetView>
  </sheetViews>
  <sheetFormatPr defaultColWidth="9.1796875" defaultRowHeight="20" x14ac:dyDescent="0.85"/>
  <cols>
    <col min="1" max="1" width="9.1796875" style="1"/>
    <col min="2" max="2" width="50.54296875" style="1" customWidth="1"/>
    <col min="3" max="3" width="11.54296875" style="1" customWidth="1"/>
    <col min="4" max="4" width="11.90625" style="1" customWidth="1"/>
    <col min="5" max="5" width="12.36328125" style="1" customWidth="1"/>
    <col min="6" max="6" width="12.90625" style="1" customWidth="1"/>
    <col min="7" max="16384" width="9.1796875" style="1"/>
  </cols>
  <sheetData>
    <row r="2" spans="2:4" x14ac:dyDescent="0.85">
      <c r="B2" s="101" t="s">
        <v>440</v>
      </c>
      <c r="C2" s="101"/>
      <c r="D2" s="101"/>
    </row>
    <row r="3" spans="2:4" x14ac:dyDescent="0.85">
      <c r="B3" s="47" t="s">
        <v>177</v>
      </c>
      <c r="C3" s="2" t="s">
        <v>87</v>
      </c>
      <c r="D3" s="2" t="s">
        <v>21</v>
      </c>
    </row>
    <row r="4" spans="2:4" x14ac:dyDescent="0.85">
      <c r="B4" s="47" t="s">
        <v>178</v>
      </c>
      <c r="C4" s="2">
        <v>210</v>
      </c>
      <c r="D4" s="11">
        <f t="shared" ref="D4:D20" si="0">C4/289</f>
        <v>0.72664359861591699</v>
      </c>
    </row>
    <row r="5" spans="2:4" x14ac:dyDescent="0.85">
      <c r="B5" s="47" t="s">
        <v>179</v>
      </c>
      <c r="C5" s="2">
        <v>111</v>
      </c>
      <c r="D5" s="11">
        <f t="shared" si="0"/>
        <v>0.38408304498269896</v>
      </c>
    </row>
    <row r="6" spans="2:4" x14ac:dyDescent="0.85">
      <c r="B6" s="47" t="s">
        <v>180</v>
      </c>
      <c r="C6" s="2">
        <v>108</v>
      </c>
      <c r="D6" s="11">
        <f t="shared" si="0"/>
        <v>0.37370242214532873</v>
      </c>
    </row>
    <row r="7" spans="2:4" x14ac:dyDescent="0.85">
      <c r="B7" s="47" t="s">
        <v>181</v>
      </c>
      <c r="C7" s="2">
        <v>89</v>
      </c>
      <c r="D7" s="11">
        <f t="shared" si="0"/>
        <v>0.30795847750865052</v>
      </c>
    </row>
    <row r="8" spans="2:4" x14ac:dyDescent="0.85">
      <c r="B8" s="47" t="s">
        <v>182</v>
      </c>
      <c r="C8" s="2">
        <v>86</v>
      </c>
      <c r="D8" s="11">
        <f t="shared" si="0"/>
        <v>0.29757785467128028</v>
      </c>
    </row>
    <row r="9" spans="2:4" x14ac:dyDescent="0.85">
      <c r="B9" s="35" t="s">
        <v>40</v>
      </c>
      <c r="C9" s="2">
        <v>71</v>
      </c>
      <c r="D9" s="11">
        <f t="shared" si="0"/>
        <v>0.24567474048442905</v>
      </c>
    </row>
    <row r="10" spans="2:4" x14ac:dyDescent="0.85">
      <c r="B10" s="35" t="s">
        <v>471</v>
      </c>
      <c r="C10" s="2">
        <v>53</v>
      </c>
      <c r="D10" s="11">
        <f t="shared" si="0"/>
        <v>0.18339100346020762</v>
      </c>
    </row>
    <row r="11" spans="2:4" x14ac:dyDescent="0.85">
      <c r="B11" s="47" t="s">
        <v>183</v>
      </c>
      <c r="C11" s="2">
        <v>43</v>
      </c>
      <c r="D11" s="11">
        <f t="shared" si="0"/>
        <v>0.14878892733564014</v>
      </c>
    </row>
    <row r="12" spans="2:4" x14ac:dyDescent="0.85">
      <c r="B12" s="47" t="s">
        <v>184</v>
      </c>
      <c r="C12" s="2">
        <v>42</v>
      </c>
      <c r="D12" s="11">
        <f t="shared" si="0"/>
        <v>0.1453287197231834</v>
      </c>
    </row>
    <row r="13" spans="2:4" x14ac:dyDescent="0.85">
      <c r="B13" s="47" t="s">
        <v>185</v>
      </c>
      <c r="C13" s="2">
        <v>41</v>
      </c>
      <c r="D13" s="11">
        <f t="shared" si="0"/>
        <v>0.14186851211072665</v>
      </c>
    </row>
    <row r="14" spans="2:4" x14ac:dyDescent="0.85">
      <c r="B14" s="47" t="s">
        <v>186</v>
      </c>
      <c r="C14" s="2">
        <v>40</v>
      </c>
      <c r="D14" s="11">
        <f t="shared" si="0"/>
        <v>0.13840830449826991</v>
      </c>
    </row>
    <row r="15" spans="2:4" x14ac:dyDescent="0.85">
      <c r="B15" s="47" t="s">
        <v>187</v>
      </c>
      <c r="C15" s="2">
        <v>31</v>
      </c>
      <c r="D15" s="11">
        <f t="shared" si="0"/>
        <v>0.10726643598615918</v>
      </c>
    </row>
    <row r="16" spans="2:4" x14ac:dyDescent="0.85">
      <c r="B16" s="47" t="s">
        <v>188</v>
      </c>
      <c r="C16" s="2">
        <v>28</v>
      </c>
      <c r="D16" s="11">
        <f t="shared" si="0"/>
        <v>9.6885813148788927E-2</v>
      </c>
    </row>
    <row r="17" spans="2:4" x14ac:dyDescent="0.85">
      <c r="B17" s="47" t="s">
        <v>189</v>
      </c>
      <c r="C17" s="2">
        <v>24</v>
      </c>
      <c r="D17" s="11">
        <f t="shared" si="0"/>
        <v>8.3044982698961933E-2</v>
      </c>
    </row>
    <row r="18" spans="2:4" x14ac:dyDescent="0.85">
      <c r="B18" s="47" t="s">
        <v>190</v>
      </c>
      <c r="C18" s="2">
        <v>15</v>
      </c>
      <c r="D18" s="11">
        <f t="shared" si="0"/>
        <v>5.1903114186851208E-2</v>
      </c>
    </row>
    <row r="19" spans="2:4" x14ac:dyDescent="0.85">
      <c r="B19" s="47" t="s">
        <v>191</v>
      </c>
      <c r="C19" s="2">
        <v>13</v>
      </c>
      <c r="D19" s="11">
        <f t="shared" si="0"/>
        <v>4.4982698961937718E-2</v>
      </c>
    </row>
    <row r="20" spans="2:4" x14ac:dyDescent="0.85">
      <c r="B20" s="47" t="s">
        <v>192</v>
      </c>
      <c r="C20" s="2">
        <v>5</v>
      </c>
      <c r="D20" s="11">
        <f t="shared" si="0"/>
        <v>1.7301038062283738E-2</v>
      </c>
    </row>
    <row r="21" spans="2:4" x14ac:dyDescent="0.85">
      <c r="B21" s="47" t="s">
        <v>193</v>
      </c>
      <c r="C21" s="2">
        <v>289</v>
      </c>
      <c r="D21" s="2"/>
    </row>
    <row r="25" spans="2:4" x14ac:dyDescent="0.85">
      <c r="B25" s="1" t="s">
        <v>473</v>
      </c>
    </row>
    <row r="27" spans="2:4" x14ac:dyDescent="0.85">
      <c r="B27" s="2" t="s">
        <v>178</v>
      </c>
      <c r="C27" s="2">
        <v>210</v>
      </c>
      <c r="D27" s="11">
        <f t="shared" ref="D27:D34" si="1">C27/259</f>
        <v>0.81081081081081086</v>
      </c>
    </row>
    <row r="28" spans="2:4" x14ac:dyDescent="0.85">
      <c r="B28" s="2" t="s">
        <v>179</v>
      </c>
      <c r="C28" s="2">
        <v>111</v>
      </c>
      <c r="D28" s="11">
        <f t="shared" si="1"/>
        <v>0.42857142857142855</v>
      </c>
    </row>
    <row r="29" spans="2:4" x14ac:dyDescent="0.85">
      <c r="B29" s="2" t="s">
        <v>186</v>
      </c>
      <c r="C29" s="2">
        <v>40</v>
      </c>
      <c r="D29" s="11">
        <f t="shared" si="1"/>
        <v>0.15444015444015444</v>
      </c>
    </row>
    <row r="30" spans="2:4" x14ac:dyDescent="0.85">
      <c r="B30" s="2" t="s">
        <v>190</v>
      </c>
      <c r="C30" s="2">
        <v>15</v>
      </c>
      <c r="D30" s="11">
        <f t="shared" si="1"/>
        <v>5.7915057915057917E-2</v>
      </c>
    </row>
    <row r="31" spans="2:4" x14ac:dyDescent="0.85">
      <c r="B31" s="2" t="s">
        <v>441</v>
      </c>
      <c r="C31" s="2">
        <v>166</v>
      </c>
      <c r="D31" s="11">
        <f t="shared" si="1"/>
        <v>0.64092664092664098</v>
      </c>
    </row>
    <row r="32" spans="2:4" x14ac:dyDescent="0.85">
      <c r="B32" s="2" t="s">
        <v>471</v>
      </c>
      <c r="C32" s="2">
        <v>52</v>
      </c>
      <c r="D32" s="11">
        <f t="shared" si="1"/>
        <v>0.20077220077220076</v>
      </c>
    </row>
    <row r="33" spans="2:6" x14ac:dyDescent="0.85">
      <c r="B33" s="2" t="s">
        <v>191</v>
      </c>
      <c r="C33" s="2">
        <v>13</v>
      </c>
      <c r="D33" s="11">
        <f t="shared" si="1"/>
        <v>5.019305019305019E-2</v>
      </c>
    </row>
    <row r="34" spans="2:6" x14ac:dyDescent="0.85">
      <c r="B34" s="2" t="s">
        <v>192</v>
      </c>
      <c r="C34" s="2">
        <v>5</v>
      </c>
      <c r="D34" s="11">
        <f t="shared" si="1"/>
        <v>1.9305019305019305E-2</v>
      </c>
    </row>
    <row r="35" spans="2:6" x14ac:dyDescent="0.85">
      <c r="B35" s="2" t="s">
        <v>472</v>
      </c>
      <c r="C35" s="2">
        <v>259</v>
      </c>
      <c r="D35" s="2"/>
    </row>
    <row r="39" spans="2:6" x14ac:dyDescent="0.85">
      <c r="B39" s="1" t="s">
        <v>442</v>
      </c>
    </row>
    <row r="41" spans="2:6" x14ac:dyDescent="0.85">
      <c r="B41" s="2" t="s">
        <v>443</v>
      </c>
      <c r="C41" s="2" t="s">
        <v>444</v>
      </c>
      <c r="D41" s="2" t="s">
        <v>445</v>
      </c>
      <c r="E41" s="2" t="s">
        <v>446</v>
      </c>
      <c r="F41" s="2" t="s">
        <v>447</v>
      </c>
    </row>
    <row r="42" spans="2:6" x14ac:dyDescent="0.85">
      <c r="B42" s="7" t="s">
        <v>194</v>
      </c>
      <c r="C42" s="7">
        <v>33</v>
      </c>
      <c r="D42" s="76">
        <f t="shared" ref="D42:D47" si="2">C42/289</f>
        <v>0.11418685121107267</v>
      </c>
      <c r="E42" s="2">
        <v>29</v>
      </c>
      <c r="F42" s="11">
        <f t="shared" ref="F42:F47" si="3">E42/259</f>
        <v>0.11196911196911197</v>
      </c>
    </row>
    <row r="43" spans="2:6" x14ac:dyDescent="0.85">
      <c r="B43" s="2" t="s">
        <v>195</v>
      </c>
      <c r="C43" s="2">
        <v>27</v>
      </c>
      <c r="D43" s="11">
        <f t="shared" si="2"/>
        <v>9.3425605536332182E-2</v>
      </c>
      <c r="E43" s="2">
        <v>25</v>
      </c>
      <c r="F43" s="11">
        <f t="shared" si="3"/>
        <v>9.6525096525096526E-2</v>
      </c>
    </row>
    <row r="44" spans="2:6" x14ac:dyDescent="0.85">
      <c r="B44" s="2" t="s">
        <v>196</v>
      </c>
      <c r="C44" s="2">
        <v>10</v>
      </c>
      <c r="D44" s="11">
        <f t="shared" si="2"/>
        <v>3.4602076124567477E-2</v>
      </c>
      <c r="E44" s="2">
        <v>10</v>
      </c>
      <c r="F44" s="11">
        <f t="shared" si="3"/>
        <v>3.8610038610038609E-2</v>
      </c>
    </row>
    <row r="45" spans="2:6" x14ac:dyDescent="0.85">
      <c r="B45" s="2" t="s">
        <v>197</v>
      </c>
      <c r="C45" s="2">
        <v>220</v>
      </c>
      <c r="D45" s="11">
        <f t="shared" si="2"/>
        <v>0.76124567474048443</v>
      </c>
      <c r="E45" s="2">
        <v>191</v>
      </c>
      <c r="F45" s="11">
        <f t="shared" si="3"/>
        <v>0.73745173745173742</v>
      </c>
    </row>
    <row r="46" spans="2:6" x14ac:dyDescent="0.85">
      <c r="B46" s="2" t="s">
        <v>198</v>
      </c>
      <c r="C46" s="2">
        <v>176</v>
      </c>
      <c r="D46" s="11">
        <f t="shared" si="2"/>
        <v>0.60899653979238755</v>
      </c>
      <c r="E46" s="2">
        <v>165</v>
      </c>
      <c r="F46" s="11">
        <f t="shared" si="3"/>
        <v>0.63706563706563701</v>
      </c>
    </row>
    <row r="47" spans="2:6" x14ac:dyDescent="0.85">
      <c r="B47" s="4" t="s">
        <v>199</v>
      </c>
      <c r="C47" s="4">
        <v>20</v>
      </c>
      <c r="D47" s="71">
        <f t="shared" si="2"/>
        <v>6.9204152249134954E-2</v>
      </c>
      <c r="E47" s="2">
        <v>20</v>
      </c>
      <c r="F47" s="11">
        <f t="shared" si="3"/>
        <v>7.7220077220077218E-2</v>
      </c>
    </row>
    <row r="48" spans="2:6" x14ac:dyDescent="0.85">
      <c r="B48" s="2" t="s">
        <v>120</v>
      </c>
      <c r="C48" s="2">
        <v>289</v>
      </c>
      <c r="D48" s="2"/>
      <c r="E48" s="2">
        <v>259</v>
      </c>
      <c r="F48" s="2"/>
    </row>
  </sheetData>
  <autoFilter ref="B3:D20" xr:uid="{25F425F6-0539-44D3-BBCF-B6F2C14FC510}">
    <sortState xmlns:xlrd2="http://schemas.microsoft.com/office/spreadsheetml/2017/richdata2" ref="B4:D21">
      <sortCondition descending="1" ref="D3:D20"/>
    </sortState>
  </autoFilter>
  <sortState xmlns:xlrd2="http://schemas.microsoft.com/office/spreadsheetml/2017/richdata2" ref="B8:D20">
    <sortCondition ref="D8:D20"/>
  </sortState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5905-68A8-4B3B-9DDC-F422C2744880}">
  <dimension ref="B3:H9"/>
  <sheetViews>
    <sheetView topLeftCell="A2" workbookViewId="0">
      <selection activeCell="B3" sqref="B3:H3"/>
    </sheetView>
  </sheetViews>
  <sheetFormatPr defaultColWidth="9.1796875" defaultRowHeight="20" x14ac:dyDescent="0.85"/>
  <cols>
    <col min="1" max="1" width="9.1796875" style="1"/>
    <col min="2" max="2" width="64.54296875" style="1" customWidth="1"/>
    <col min="3" max="3" width="11.453125" style="1" customWidth="1"/>
    <col min="4" max="4" width="11.54296875" style="1" customWidth="1"/>
    <col min="5" max="5" width="15" style="1" customWidth="1"/>
    <col min="6" max="6" width="15.453125" style="1" customWidth="1"/>
    <col min="7" max="16384" width="9.1796875" style="1"/>
  </cols>
  <sheetData>
    <row r="3" spans="2:8" x14ac:dyDescent="0.85">
      <c r="B3" s="106" t="s">
        <v>401</v>
      </c>
      <c r="C3" s="106"/>
      <c r="D3" s="106"/>
      <c r="E3" s="106"/>
      <c r="F3" s="106"/>
      <c r="G3" s="106"/>
      <c r="H3" s="106"/>
    </row>
    <row r="4" spans="2:8" x14ac:dyDescent="0.85">
      <c r="B4" s="2"/>
      <c r="C4" s="2" t="s">
        <v>43</v>
      </c>
      <c r="D4" s="2" t="s">
        <v>44</v>
      </c>
      <c r="E4" s="2" t="s">
        <v>45</v>
      </c>
      <c r="F4" s="2" t="s">
        <v>46</v>
      </c>
      <c r="G4" s="2" t="s">
        <v>9</v>
      </c>
      <c r="H4" s="2" t="s">
        <v>9</v>
      </c>
    </row>
    <row r="5" spans="2:8" x14ac:dyDescent="0.85">
      <c r="B5" s="2" t="s">
        <v>200</v>
      </c>
      <c r="C5" s="2">
        <v>61</v>
      </c>
      <c r="D5" s="11">
        <v>0.4</v>
      </c>
      <c r="E5" s="2">
        <v>83</v>
      </c>
      <c r="F5" s="11">
        <v>0.56000000000000005</v>
      </c>
      <c r="G5" s="2">
        <f>C5+E5</f>
        <v>144</v>
      </c>
      <c r="H5" s="11">
        <f>G5/298</f>
        <v>0.48322147651006714</v>
      </c>
    </row>
    <row r="6" spans="2:8" x14ac:dyDescent="0.85">
      <c r="B6" s="2" t="s">
        <v>374</v>
      </c>
      <c r="C6" s="2">
        <v>25</v>
      </c>
      <c r="D6" s="11">
        <v>0.17</v>
      </c>
      <c r="E6" s="2">
        <v>26</v>
      </c>
      <c r="F6" s="11">
        <v>0.18</v>
      </c>
      <c r="G6" s="2">
        <f>C6+E6</f>
        <v>51</v>
      </c>
      <c r="H6" s="11">
        <f>G6/298</f>
        <v>0.17114093959731544</v>
      </c>
    </row>
    <row r="7" spans="2:8" x14ac:dyDescent="0.85">
      <c r="B7" s="2" t="s">
        <v>201</v>
      </c>
      <c r="C7" s="2">
        <v>38</v>
      </c>
      <c r="D7" s="11">
        <v>0.25</v>
      </c>
      <c r="E7" s="2">
        <v>20</v>
      </c>
      <c r="F7" s="11">
        <v>0.14000000000000001</v>
      </c>
      <c r="G7" s="2">
        <f>C7+E7</f>
        <v>58</v>
      </c>
      <c r="H7" s="11">
        <f>G7/298</f>
        <v>0.19463087248322147</v>
      </c>
    </row>
    <row r="8" spans="2:8" x14ac:dyDescent="0.85">
      <c r="B8" s="2" t="s">
        <v>202</v>
      </c>
      <c r="C8" s="2">
        <v>27</v>
      </c>
      <c r="D8" s="11">
        <v>0.18</v>
      </c>
      <c r="E8" s="2">
        <v>18</v>
      </c>
      <c r="F8" s="11">
        <v>0.12</v>
      </c>
      <c r="G8" s="2">
        <f>C8+E8</f>
        <v>45</v>
      </c>
      <c r="H8" s="11">
        <f>G8/298</f>
        <v>0.15100671140939598</v>
      </c>
    </row>
    <row r="9" spans="2:8" x14ac:dyDescent="0.85">
      <c r="D9" s="78"/>
      <c r="F9" s="78"/>
      <c r="H9" s="78"/>
    </row>
  </sheetData>
  <sortState xmlns:xlrd2="http://schemas.microsoft.com/office/spreadsheetml/2017/richdata2" ref="B5:H8">
    <sortCondition descending="1" ref="H4:H8"/>
  </sortState>
  <mergeCells count="1">
    <mergeCell ref="B3:H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683B-84E0-4414-BA5A-941A1BF13FB5}">
  <dimension ref="B3:H11"/>
  <sheetViews>
    <sheetView zoomScale="90" zoomScaleNormal="90" workbookViewId="0">
      <selection activeCell="B3" sqref="B3"/>
    </sheetView>
  </sheetViews>
  <sheetFormatPr defaultColWidth="9.1796875" defaultRowHeight="20" x14ac:dyDescent="0.85"/>
  <cols>
    <col min="1" max="1" width="9.1796875" style="1"/>
    <col min="2" max="2" width="49.1796875" style="1" customWidth="1"/>
    <col min="3" max="3" width="13" style="1" customWidth="1"/>
    <col min="4" max="4" width="13.7265625" style="1" customWidth="1"/>
    <col min="5" max="5" width="16.1796875" style="1" customWidth="1"/>
    <col min="6" max="6" width="16.7265625" style="1" customWidth="1"/>
    <col min="7" max="7" width="10.54296875" style="1" customWidth="1"/>
    <col min="8" max="8" width="11.7265625" style="1" customWidth="1"/>
    <col min="9" max="16384" width="9.1796875" style="1"/>
  </cols>
  <sheetData>
    <row r="3" spans="2:8" x14ac:dyDescent="0.85">
      <c r="B3" s="37" t="s">
        <v>402</v>
      </c>
      <c r="C3" s="37"/>
      <c r="D3" s="37"/>
      <c r="E3" s="37"/>
      <c r="F3" s="37"/>
      <c r="G3" s="37"/>
      <c r="H3" s="37"/>
    </row>
    <row r="4" spans="2:8" x14ac:dyDescent="0.85">
      <c r="B4" s="2"/>
      <c r="C4" s="2" t="s">
        <v>43</v>
      </c>
      <c r="D4" s="2" t="s">
        <v>44</v>
      </c>
      <c r="E4" s="2" t="s">
        <v>45</v>
      </c>
      <c r="F4" s="2" t="s">
        <v>46</v>
      </c>
      <c r="G4" s="2" t="s">
        <v>15</v>
      </c>
      <c r="H4" s="2" t="s">
        <v>88</v>
      </c>
    </row>
    <row r="5" spans="2:8" x14ac:dyDescent="0.85">
      <c r="B5" s="67" t="s">
        <v>203</v>
      </c>
      <c r="C5" s="2">
        <v>12</v>
      </c>
      <c r="D5" s="11">
        <v>0.08</v>
      </c>
      <c r="E5" s="2">
        <v>15</v>
      </c>
      <c r="F5" s="11">
        <v>0.1</v>
      </c>
      <c r="G5" s="2">
        <f>C5+E5</f>
        <v>27</v>
      </c>
      <c r="H5" s="11">
        <f>G5/298</f>
        <v>9.0604026845637578E-2</v>
      </c>
    </row>
    <row r="6" spans="2:8" x14ac:dyDescent="0.85">
      <c r="B6" s="67" t="s">
        <v>204</v>
      </c>
      <c r="C6" s="2">
        <v>54</v>
      </c>
      <c r="D6" s="11">
        <v>0.36</v>
      </c>
      <c r="E6" s="2">
        <v>38</v>
      </c>
      <c r="F6" s="11">
        <v>0.26</v>
      </c>
      <c r="G6" s="2">
        <f t="shared" ref="G6:G9" si="0">C6+E6</f>
        <v>92</v>
      </c>
      <c r="H6" s="11">
        <f t="shared" ref="H6:H9" si="1">G6/298</f>
        <v>0.3087248322147651</v>
      </c>
    </row>
    <row r="7" spans="2:8" x14ac:dyDescent="0.85">
      <c r="B7" s="67" t="s">
        <v>205</v>
      </c>
      <c r="C7" s="2">
        <v>24</v>
      </c>
      <c r="D7" s="11">
        <v>0.16</v>
      </c>
      <c r="E7" s="2">
        <v>16</v>
      </c>
      <c r="F7" s="11">
        <v>0.11</v>
      </c>
      <c r="G7" s="2">
        <f t="shared" si="0"/>
        <v>40</v>
      </c>
      <c r="H7" s="11">
        <f t="shared" si="1"/>
        <v>0.13422818791946309</v>
      </c>
    </row>
    <row r="8" spans="2:8" x14ac:dyDescent="0.85">
      <c r="B8" s="67" t="s">
        <v>206</v>
      </c>
      <c r="C8" s="2">
        <v>10</v>
      </c>
      <c r="D8" s="11">
        <v>7.0000000000000007E-2</v>
      </c>
      <c r="E8" s="2">
        <v>6</v>
      </c>
      <c r="F8" s="11">
        <v>0.04</v>
      </c>
      <c r="G8" s="2">
        <f t="shared" si="0"/>
        <v>16</v>
      </c>
      <c r="H8" s="11">
        <f t="shared" si="1"/>
        <v>5.3691275167785234E-2</v>
      </c>
    </row>
    <row r="9" spans="2:8" x14ac:dyDescent="0.85">
      <c r="B9" s="67" t="s">
        <v>207</v>
      </c>
      <c r="C9" s="2">
        <v>4</v>
      </c>
      <c r="D9" s="11">
        <v>0.03</v>
      </c>
      <c r="E9" s="2">
        <v>0</v>
      </c>
      <c r="F9" s="11">
        <v>0</v>
      </c>
      <c r="G9" s="2">
        <f t="shared" si="0"/>
        <v>4</v>
      </c>
      <c r="H9" s="11">
        <f t="shared" si="1"/>
        <v>1.3422818791946308E-2</v>
      </c>
    </row>
    <row r="10" spans="2:8" x14ac:dyDescent="0.85">
      <c r="B10" s="67" t="s">
        <v>208</v>
      </c>
      <c r="C10" s="2">
        <v>57</v>
      </c>
      <c r="D10" s="11">
        <v>0.38</v>
      </c>
      <c r="E10" s="2">
        <v>36</v>
      </c>
      <c r="F10" s="11">
        <v>0.24</v>
      </c>
      <c r="G10" s="2">
        <f>C10+E10</f>
        <v>93</v>
      </c>
      <c r="H10" s="11">
        <f>G10/298</f>
        <v>0.31208053691275167</v>
      </c>
    </row>
    <row r="11" spans="2:8" x14ac:dyDescent="0.85">
      <c r="B11" s="67" t="s">
        <v>9</v>
      </c>
      <c r="C11" s="2">
        <v>151</v>
      </c>
      <c r="D11" s="68"/>
      <c r="E11" s="2">
        <v>147</v>
      </c>
      <c r="F11" s="68"/>
      <c r="G11" s="2">
        <f>C11+E11</f>
        <v>298</v>
      </c>
      <c r="H11" s="25"/>
    </row>
  </sheetData>
  <sortState xmlns:xlrd2="http://schemas.microsoft.com/office/spreadsheetml/2017/richdata2" ref="B5:H9">
    <sortCondition descending="1" ref="H9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EDC7-9F22-4D41-BF34-0AAB331F4DF2}">
  <dimension ref="B3:H7"/>
  <sheetViews>
    <sheetView workbookViewId="0">
      <selection activeCell="B3" sqref="B3:H3"/>
    </sheetView>
  </sheetViews>
  <sheetFormatPr defaultColWidth="9.1796875" defaultRowHeight="20" x14ac:dyDescent="0.85"/>
  <cols>
    <col min="1" max="2" width="9.1796875" style="1"/>
    <col min="3" max="3" width="11.1796875" style="1" customWidth="1"/>
    <col min="4" max="4" width="12.26953125" style="1" customWidth="1"/>
    <col min="5" max="5" width="15.453125" style="1" customWidth="1"/>
    <col min="6" max="6" width="14.7265625" style="1" customWidth="1"/>
    <col min="7" max="16384" width="9.1796875" style="1"/>
  </cols>
  <sheetData>
    <row r="3" spans="2:8" x14ac:dyDescent="0.85">
      <c r="B3" s="106" t="s">
        <v>403</v>
      </c>
      <c r="C3" s="106"/>
      <c r="D3" s="106"/>
      <c r="E3" s="106"/>
      <c r="F3" s="106"/>
      <c r="G3" s="106"/>
      <c r="H3" s="106"/>
    </row>
    <row r="4" spans="2:8" x14ac:dyDescent="0.85">
      <c r="B4" s="2"/>
      <c r="C4" s="2" t="s">
        <v>43</v>
      </c>
      <c r="D4" s="2" t="s">
        <v>44</v>
      </c>
      <c r="E4" s="2" t="s">
        <v>45</v>
      </c>
      <c r="F4" s="2" t="s">
        <v>46</v>
      </c>
      <c r="G4" s="2" t="s">
        <v>15</v>
      </c>
      <c r="H4" s="2" t="s">
        <v>88</v>
      </c>
    </row>
    <row r="5" spans="2:8" x14ac:dyDescent="0.85">
      <c r="B5" s="2" t="s">
        <v>209</v>
      </c>
      <c r="C5" s="2">
        <v>9</v>
      </c>
      <c r="D5" s="11">
        <v>0.06</v>
      </c>
      <c r="E5" s="2">
        <v>0</v>
      </c>
      <c r="F5" s="11">
        <v>0</v>
      </c>
      <c r="G5" s="2">
        <v>9</v>
      </c>
      <c r="H5" s="11">
        <f>G5/298</f>
        <v>3.0201342281879196E-2</v>
      </c>
    </row>
    <row r="6" spans="2:8" x14ac:dyDescent="0.85">
      <c r="B6" s="2" t="s">
        <v>20</v>
      </c>
      <c r="C6" s="2">
        <v>142</v>
      </c>
      <c r="D6" s="11">
        <v>0.94</v>
      </c>
      <c r="E6" s="2">
        <v>147</v>
      </c>
      <c r="F6" s="11">
        <v>1</v>
      </c>
      <c r="G6" s="2">
        <v>289</v>
      </c>
      <c r="H6" s="11">
        <f>G6/298</f>
        <v>0.96979865771812079</v>
      </c>
    </row>
    <row r="7" spans="2:8" x14ac:dyDescent="0.85">
      <c r="B7" s="2" t="s">
        <v>9</v>
      </c>
      <c r="C7" s="2">
        <v>151</v>
      </c>
      <c r="D7" s="2"/>
      <c r="E7" s="2">
        <v>147</v>
      </c>
      <c r="F7" s="2"/>
      <c r="G7" s="2">
        <v>298</v>
      </c>
      <c r="H7" s="2"/>
    </row>
  </sheetData>
  <mergeCells count="1">
    <mergeCell ref="B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93DA-7498-4C4F-AEB2-0701D399388A}">
  <sheetPr>
    <tabColor rgb="FF00B050"/>
  </sheetPr>
  <dimension ref="B2:K23"/>
  <sheetViews>
    <sheetView topLeftCell="A11" workbookViewId="0">
      <selection activeCell="B12" sqref="B12"/>
    </sheetView>
  </sheetViews>
  <sheetFormatPr defaultColWidth="9.1796875" defaultRowHeight="20" x14ac:dyDescent="0.85"/>
  <cols>
    <col min="1" max="1" width="9.1796875" style="1"/>
    <col min="2" max="2" width="32.54296875" style="1" customWidth="1"/>
    <col min="3" max="3" width="11.26953125" style="1" customWidth="1"/>
    <col min="4" max="4" width="12.90625" style="1" customWidth="1"/>
    <col min="5" max="5" width="11.453125" style="1" customWidth="1"/>
    <col min="6" max="6" width="14.54296875" style="1" customWidth="1"/>
    <col min="7" max="8" width="15.26953125" style="1" customWidth="1"/>
    <col min="9" max="10" width="9.1796875" style="1"/>
    <col min="11" max="11" width="10.90625" style="1" customWidth="1"/>
    <col min="12" max="16384" width="9.1796875" style="1"/>
  </cols>
  <sheetData>
    <row r="2" spans="2:11" x14ac:dyDescent="0.85">
      <c r="B2" s="1" t="s">
        <v>404</v>
      </c>
    </row>
    <row r="4" spans="2:11" x14ac:dyDescent="0.85">
      <c r="B4" s="2"/>
      <c r="C4" s="2" t="s">
        <v>7</v>
      </c>
      <c r="D4" s="2" t="s">
        <v>8</v>
      </c>
      <c r="E4" s="2"/>
      <c r="F4" s="2" t="s">
        <v>9</v>
      </c>
    </row>
    <row r="5" spans="2:11" x14ac:dyDescent="0.85">
      <c r="B5" s="2" t="s">
        <v>93</v>
      </c>
      <c r="C5" s="2">
        <v>3</v>
      </c>
      <c r="D5" s="2">
        <v>2</v>
      </c>
      <c r="E5" s="2"/>
      <c r="F5" s="2">
        <v>3</v>
      </c>
    </row>
    <row r="6" spans="2:11" x14ac:dyDescent="0.85">
      <c r="B6" s="2" t="s">
        <v>94</v>
      </c>
      <c r="C6" s="2">
        <v>3.7</v>
      </c>
      <c r="D6" s="2">
        <v>2.4</v>
      </c>
      <c r="E6" s="2"/>
      <c r="F6" s="2">
        <v>3.1</v>
      </c>
    </row>
    <row r="7" spans="2:11" x14ac:dyDescent="0.85">
      <c r="B7" s="2" t="s">
        <v>210</v>
      </c>
      <c r="C7" s="17" t="s">
        <v>211</v>
      </c>
      <c r="D7" s="17" t="s">
        <v>212</v>
      </c>
      <c r="E7" s="17"/>
      <c r="F7" s="17" t="s">
        <v>212</v>
      </c>
    </row>
    <row r="11" spans="2:11" x14ac:dyDescent="0.85">
      <c r="B11" s="101" t="s">
        <v>405</v>
      </c>
      <c r="C11" s="101"/>
      <c r="D11" s="101"/>
      <c r="E11" s="101"/>
      <c r="F11" s="101"/>
      <c r="G11" s="101"/>
      <c r="H11" s="101"/>
      <c r="I11" s="101"/>
    </row>
    <row r="12" spans="2:11" ht="40" x14ac:dyDescent="0.85">
      <c r="B12" s="18"/>
      <c r="C12" s="18" t="s">
        <v>43</v>
      </c>
      <c r="D12" s="97" t="s">
        <v>382</v>
      </c>
      <c r="E12" s="97" t="s">
        <v>383</v>
      </c>
      <c r="F12" s="18" t="s">
        <v>45</v>
      </c>
      <c r="G12" s="93" t="s">
        <v>384</v>
      </c>
      <c r="H12" s="93" t="s">
        <v>385</v>
      </c>
      <c r="I12" s="18" t="s">
        <v>15</v>
      </c>
      <c r="J12" s="93" t="s">
        <v>386</v>
      </c>
      <c r="K12" s="94" t="s">
        <v>387</v>
      </c>
    </row>
    <row r="13" spans="2:11" x14ac:dyDescent="0.85">
      <c r="B13" s="18" t="s">
        <v>213</v>
      </c>
      <c r="C13" s="19">
        <v>89</v>
      </c>
      <c r="D13" s="95">
        <f>C13/151</f>
        <v>0.58940397350993379</v>
      </c>
      <c r="E13" s="86">
        <f>C13/563</f>
        <v>0.15808170515097691</v>
      </c>
      <c r="F13" s="19">
        <v>98</v>
      </c>
      <c r="G13" s="95">
        <f t="shared" ref="G13:G21" si="0">F13/147</f>
        <v>0.66666666666666663</v>
      </c>
      <c r="H13" s="86">
        <f>F13/351</f>
        <v>0.27920227920227919</v>
      </c>
      <c r="I13" s="19">
        <v>187</v>
      </c>
      <c r="J13" s="95">
        <f t="shared" ref="J13:J21" si="1">I13/298</f>
        <v>0.62751677852348997</v>
      </c>
      <c r="K13" s="61">
        <f>I13/914</f>
        <v>0.20459518599562362</v>
      </c>
    </row>
    <row r="14" spans="2:11" x14ac:dyDescent="0.85">
      <c r="B14" s="18" t="s">
        <v>214</v>
      </c>
      <c r="C14" s="19">
        <v>160</v>
      </c>
      <c r="D14" s="95">
        <f>C14/151</f>
        <v>1.0596026490066226</v>
      </c>
      <c r="E14" s="86">
        <f>C14/563</f>
        <v>0.28419182948490229</v>
      </c>
      <c r="F14" s="19">
        <v>125</v>
      </c>
      <c r="G14" s="95">
        <f t="shared" si="0"/>
        <v>0.85034013605442171</v>
      </c>
      <c r="H14" s="86">
        <f>F14/351</f>
        <v>0.35612535612535612</v>
      </c>
      <c r="I14" s="19">
        <v>285</v>
      </c>
      <c r="J14" s="95">
        <f t="shared" si="1"/>
        <v>0.9563758389261745</v>
      </c>
      <c r="K14" s="61">
        <f>I14/914</f>
        <v>0.31181619256017507</v>
      </c>
    </row>
    <row r="15" spans="2:11" x14ac:dyDescent="0.85">
      <c r="B15" s="18" t="s">
        <v>215</v>
      </c>
      <c r="C15" s="19">
        <v>200</v>
      </c>
      <c r="D15" s="95">
        <f>C15/151</f>
        <v>1.3245033112582782</v>
      </c>
      <c r="E15" s="86">
        <f>C15/563</f>
        <v>0.35523978685612789</v>
      </c>
      <c r="F15" s="19">
        <v>72</v>
      </c>
      <c r="G15" s="95">
        <f t="shared" si="0"/>
        <v>0.48979591836734693</v>
      </c>
      <c r="H15" s="86">
        <f>F15/351</f>
        <v>0.20512820512820512</v>
      </c>
      <c r="I15" s="19">
        <v>272</v>
      </c>
      <c r="J15" s="95">
        <f t="shared" si="1"/>
        <v>0.91275167785234901</v>
      </c>
      <c r="K15" s="61">
        <f>I15/914</f>
        <v>0.2975929978118162</v>
      </c>
    </row>
    <row r="16" spans="2:11" x14ac:dyDescent="0.85">
      <c r="B16" s="18" t="s">
        <v>216</v>
      </c>
      <c r="C16" s="19">
        <v>0</v>
      </c>
      <c r="D16" s="95">
        <v>0</v>
      </c>
      <c r="E16" s="86">
        <v>0</v>
      </c>
      <c r="F16" s="19">
        <v>0</v>
      </c>
      <c r="G16" s="95">
        <f t="shared" si="0"/>
        <v>0</v>
      </c>
      <c r="H16" s="86">
        <v>0</v>
      </c>
      <c r="I16" s="19">
        <v>0</v>
      </c>
      <c r="J16" s="95">
        <f t="shared" si="1"/>
        <v>0</v>
      </c>
      <c r="K16" s="61">
        <v>0</v>
      </c>
    </row>
    <row r="17" spans="2:11" x14ac:dyDescent="0.85">
      <c r="B17" s="18" t="s">
        <v>217</v>
      </c>
      <c r="C17" s="19">
        <v>11</v>
      </c>
      <c r="D17" s="95">
        <f>C17/151</f>
        <v>7.2847682119205295E-2</v>
      </c>
      <c r="E17" s="86">
        <f>C17/563</f>
        <v>1.9538188277087035E-2</v>
      </c>
      <c r="F17" s="19">
        <v>1</v>
      </c>
      <c r="G17" s="95">
        <f t="shared" si="0"/>
        <v>6.8027210884353739E-3</v>
      </c>
      <c r="H17" s="86">
        <f>F17/351</f>
        <v>2.8490028490028491E-3</v>
      </c>
      <c r="I17" s="19">
        <v>12</v>
      </c>
      <c r="J17" s="95">
        <f t="shared" si="1"/>
        <v>4.0268456375838924E-2</v>
      </c>
      <c r="K17" s="61">
        <f>I17/914</f>
        <v>1.3129102844638949E-2</v>
      </c>
    </row>
    <row r="18" spans="2:11" x14ac:dyDescent="0.85">
      <c r="B18" s="18" t="s">
        <v>218</v>
      </c>
      <c r="C18" s="19">
        <v>9</v>
      </c>
      <c r="D18" s="95">
        <f>C18/151</f>
        <v>5.9602649006622516E-2</v>
      </c>
      <c r="E18" s="86">
        <f>C18/563</f>
        <v>1.5985790408525755E-2</v>
      </c>
      <c r="F18" s="19">
        <v>3</v>
      </c>
      <c r="G18" s="95">
        <f t="shared" si="0"/>
        <v>2.0408163265306121E-2</v>
      </c>
      <c r="H18" s="86">
        <f>F18/351</f>
        <v>8.5470085470085479E-3</v>
      </c>
      <c r="I18" s="19">
        <v>12</v>
      </c>
      <c r="J18" s="95">
        <f t="shared" si="1"/>
        <v>4.0268456375838924E-2</v>
      </c>
      <c r="K18" s="61">
        <f>I18/914</f>
        <v>1.3129102844638949E-2</v>
      </c>
    </row>
    <row r="19" spans="2:11" x14ac:dyDescent="0.85">
      <c r="B19" s="18" t="s">
        <v>219</v>
      </c>
      <c r="C19" s="19">
        <v>22</v>
      </c>
      <c r="D19" s="95">
        <f>C19/151</f>
        <v>0.14569536423841059</v>
      </c>
      <c r="E19" s="86">
        <f>C19/563</f>
        <v>3.9076376554174071E-2</v>
      </c>
      <c r="F19" s="19">
        <v>20</v>
      </c>
      <c r="G19" s="95">
        <f t="shared" si="0"/>
        <v>0.1360544217687075</v>
      </c>
      <c r="H19" s="86">
        <f>F19/351</f>
        <v>5.6980056980056981E-2</v>
      </c>
      <c r="I19" s="19">
        <v>42</v>
      </c>
      <c r="J19" s="95">
        <f t="shared" si="1"/>
        <v>0.14093959731543623</v>
      </c>
      <c r="K19" s="61">
        <f>I19/914</f>
        <v>4.5951859956236324E-2</v>
      </c>
    </row>
    <row r="20" spans="2:11" x14ac:dyDescent="0.85">
      <c r="B20" s="18" t="s">
        <v>220</v>
      </c>
      <c r="C20" s="19">
        <v>40</v>
      </c>
      <c r="D20" s="95">
        <f>C20/151</f>
        <v>0.26490066225165565</v>
      </c>
      <c r="E20" s="86">
        <f>C20/563</f>
        <v>7.1047957371225573E-2</v>
      </c>
      <c r="F20" s="19">
        <v>16</v>
      </c>
      <c r="G20" s="95">
        <f t="shared" si="0"/>
        <v>0.10884353741496598</v>
      </c>
      <c r="H20" s="86">
        <f>F20/351</f>
        <v>4.5584045584045586E-2</v>
      </c>
      <c r="I20" s="19">
        <v>56</v>
      </c>
      <c r="J20" s="95">
        <f t="shared" si="1"/>
        <v>0.18791946308724833</v>
      </c>
      <c r="K20" s="61">
        <f>I20/914</f>
        <v>6.1269146608315096E-2</v>
      </c>
    </row>
    <row r="21" spans="2:11" x14ac:dyDescent="0.85">
      <c r="B21" s="18" t="s">
        <v>40</v>
      </c>
      <c r="C21" s="19">
        <v>32</v>
      </c>
      <c r="D21" s="95">
        <f>C21/151</f>
        <v>0.2119205298013245</v>
      </c>
      <c r="E21" s="86">
        <f>C21/563</f>
        <v>5.6838365896980464E-2</v>
      </c>
      <c r="F21" s="19">
        <v>16</v>
      </c>
      <c r="G21" s="95">
        <f t="shared" si="0"/>
        <v>0.10884353741496598</v>
      </c>
      <c r="H21" s="86">
        <f>F21/351</f>
        <v>4.5584045584045586E-2</v>
      </c>
      <c r="I21" s="19">
        <v>48</v>
      </c>
      <c r="J21" s="95">
        <f t="shared" si="1"/>
        <v>0.16107382550335569</v>
      </c>
      <c r="K21" s="61">
        <f>I21/914</f>
        <v>5.2516411378555797E-2</v>
      </c>
    </row>
    <row r="22" spans="2:11" x14ac:dyDescent="0.85">
      <c r="B22" s="92" t="s">
        <v>120</v>
      </c>
      <c r="C22" s="19">
        <v>151</v>
      </c>
      <c r="D22" s="96"/>
      <c r="E22" s="87"/>
      <c r="F22" s="19">
        <v>147</v>
      </c>
      <c r="G22" s="96"/>
      <c r="H22" s="87"/>
      <c r="I22" s="19">
        <v>298</v>
      </c>
      <c r="J22" s="96"/>
      <c r="K22" s="53"/>
    </row>
    <row r="23" spans="2:11" x14ac:dyDescent="0.85">
      <c r="B23" s="47" t="s">
        <v>381</v>
      </c>
      <c r="C23" s="2">
        <f>SUM(C13:C21)</f>
        <v>563</v>
      </c>
      <c r="D23" s="52"/>
      <c r="E23" s="53"/>
      <c r="F23" s="2">
        <f>SUM(F13:F21)</f>
        <v>351</v>
      </c>
      <c r="G23" s="52"/>
      <c r="H23" s="53"/>
      <c r="I23" s="2">
        <f>C23+F23</f>
        <v>914</v>
      </c>
      <c r="J23" s="52"/>
      <c r="K23" s="53"/>
    </row>
  </sheetData>
  <sortState xmlns:xlrd2="http://schemas.microsoft.com/office/spreadsheetml/2017/richdata2" ref="B13:I19">
    <sortCondition descending="1" ref="I12:I19"/>
  </sortState>
  <mergeCells count="1">
    <mergeCell ref="B11:I11"/>
  </mergeCells>
  <pageMargins left="0.7" right="0.7" top="0.75" bottom="0.75" header="0.3" footer="0.3"/>
  <ignoredErrors>
    <ignoredError sqref="C23 F23" formulaRange="1"/>
  </ignoredErrors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DE00-26FD-4F61-B878-394DF48E65A8}">
  <dimension ref="B2:N11"/>
  <sheetViews>
    <sheetView workbookViewId="0">
      <selection activeCell="B8" sqref="B8"/>
    </sheetView>
  </sheetViews>
  <sheetFormatPr defaultColWidth="9.1796875" defaultRowHeight="20" x14ac:dyDescent="0.85"/>
  <cols>
    <col min="1" max="1" width="9.1796875" style="1"/>
    <col min="2" max="2" width="32.81640625" style="1" customWidth="1"/>
    <col min="3" max="3" width="11.54296875" style="1" customWidth="1"/>
    <col min="4" max="4" width="11.26953125" style="1" customWidth="1"/>
    <col min="5" max="6" width="15.1796875" style="1" customWidth="1"/>
    <col min="7" max="7" width="8.81640625" style="1" customWidth="1"/>
    <col min="8" max="8" width="9.1796875" style="1"/>
    <col min="9" max="10" width="10.81640625" style="1" customWidth="1"/>
    <col min="11" max="11" width="14.7265625" style="1" customWidth="1"/>
    <col min="12" max="12" width="15.26953125" style="1" customWidth="1"/>
    <col min="13" max="13" width="9.26953125" style="1" customWidth="1"/>
    <col min="14" max="14" width="8.81640625" style="1" customWidth="1"/>
    <col min="15" max="16384" width="9.1796875" style="1"/>
  </cols>
  <sheetData>
    <row r="2" spans="2:14" x14ac:dyDescent="0.85">
      <c r="B2" s="101" t="s">
        <v>406</v>
      </c>
      <c r="C2" s="101"/>
      <c r="D2" s="101"/>
      <c r="E2" s="101"/>
      <c r="F2" s="101"/>
      <c r="G2" s="101"/>
      <c r="H2" s="101"/>
      <c r="I2" s="10"/>
      <c r="J2" s="10"/>
      <c r="K2" s="10"/>
      <c r="L2" s="10"/>
    </row>
    <row r="3" spans="2:14" ht="40" x14ac:dyDescent="0.85">
      <c r="B3" s="18"/>
      <c r="C3" s="79" t="s">
        <v>221</v>
      </c>
      <c r="D3" s="79" t="s">
        <v>222</v>
      </c>
      <c r="E3" s="79" t="s">
        <v>223</v>
      </c>
      <c r="F3" s="79" t="s">
        <v>224</v>
      </c>
      <c r="G3" s="79" t="s">
        <v>225</v>
      </c>
      <c r="H3" s="79" t="s">
        <v>226</v>
      </c>
      <c r="I3" s="80" t="s">
        <v>227</v>
      </c>
      <c r="J3" s="80" t="s">
        <v>228</v>
      </c>
      <c r="K3" s="80" t="s">
        <v>229</v>
      </c>
      <c r="L3" s="80" t="s">
        <v>230</v>
      </c>
      <c r="M3" s="80" t="s">
        <v>231</v>
      </c>
      <c r="N3" s="80" t="s">
        <v>232</v>
      </c>
    </row>
    <row r="4" spans="2:14" x14ac:dyDescent="0.85">
      <c r="B4" s="18" t="s">
        <v>233</v>
      </c>
      <c r="C4" s="81">
        <v>95</v>
      </c>
      <c r="D4" s="82">
        <v>0.63</v>
      </c>
      <c r="E4" s="81">
        <v>70</v>
      </c>
      <c r="F4" s="82">
        <v>0.48</v>
      </c>
      <c r="G4" s="83">
        <v>165</v>
      </c>
      <c r="H4" s="84">
        <v>0.55000000000000004</v>
      </c>
      <c r="I4" s="85">
        <v>54</v>
      </c>
      <c r="J4" s="86">
        <v>0.36</v>
      </c>
      <c r="K4" s="87">
        <v>45</v>
      </c>
      <c r="L4" s="86">
        <v>0.31</v>
      </c>
      <c r="M4" s="53">
        <v>99</v>
      </c>
      <c r="N4" s="61">
        <v>0.33</v>
      </c>
    </row>
    <row r="5" spans="2:14" x14ac:dyDescent="0.85">
      <c r="B5" s="18" t="s">
        <v>234</v>
      </c>
      <c r="C5" s="81">
        <v>2</v>
      </c>
      <c r="D5" s="82">
        <v>0.01</v>
      </c>
      <c r="E5" s="81">
        <v>7</v>
      </c>
      <c r="F5" s="82">
        <v>0.05</v>
      </c>
      <c r="G5" s="83">
        <v>9</v>
      </c>
      <c r="H5" s="84">
        <v>0.03</v>
      </c>
      <c r="I5" s="87">
        <v>9</v>
      </c>
      <c r="J5" s="86">
        <v>0.06</v>
      </c>
      <c r="K5" s="87">
        <v>4</v>
      </c>
      <c r="L5" s="86">
        <v>0.03</v>
      </c>
      <c r="M5" s="53">
        <v>13</v>
      </c>
      <c r="N5" s="61">
        <v>0.04</v>
      </c>
    </row>
    <row r="6" spans="2:14" x14ac:dyDescent="0.85">
      <c r="B6" s="18" t="s">
        <v>235</v>
      </c>
      <c r="C6" s="81">
        <v>4</v>
      </c>
      <c r="D6" s="82">
        <v>0.03</v>
      </c>
      <c r="E6" s="81">
        <v>4</v>
      </c>
      <c r="F6" s="82">
        <v>0.03</v>
      </c>
      <c r="G6" s="83">
        <v>8</v>
      </c>
      <c r="H6" s="84">
        <v>0.03</v>
      </c>
      <c r="I6" s="87">
        <v>2</v>
      </c>
      <c r="J6" s="86">
        <v>0.01</v>
      </c>
      <c r="K6" s="87">
        <v>3</v>
      </c>
      <c r="L6" s="86">
        <v>0.02</v>
      </c>
      <c r="M6" s="53">
        <v>5</v>
      </c>
      <c r="N6" s="61">
        <v>0.02</v>
      </c>
    </row>
    <row r="7" spans="2:14" x14ac:dyDescent="0.85">
      <c r="B7" s="18" t="s">
        <v>236</v>
      </c>
      <c r="C7" s="81">
        <v>2</v>
      </c>
      <c r="D7" s="82">
        <v>0.01</v>
      </c>
      <c r="E7" s="81">
        <v>2</v>
      </c>
      <c r="F7" s="82">
        <v>0.01</v>
      </c>
      <c r="G7" s="83">
        <v>4</v>
      </c>
      <c r="H7" s="84">
        <v>0.01</v>
      </c>
      <c r="I7" s="87">
        <v>2</v>
      </c>
      <c r="J7" s="86">
        <v>0.01</v>
      </c>
      <c r="K7" s="87">
        <v>0</v>
      </c>
      <c r="L7" s="86">
        <v>0</v>
      </c>
      <c r="M7" s="53">
        <v>2</v>
      </c>
      <c r="N7" s="61">
        <v>0.01</v>
      </c>
    </row>
    <row r="8" spans="2:14" x14ac:dyDescent="0.85">
      <c r="B8" s="18" t="s">
        <v>237</v>
      </c>
      <c r="C8" s="81">
        <v>0</v>
      </c>
      <c r="D8" s="82">
        <v>0</v>
      </c>
      <c r="E8" s="81">
        <v>0</v>
      </c>
      <c r="F8" s="82">
        <v>0</v>
      </c>
      <c r="G8" s="83">
        <v>0</v>
      </c>
      <c r="H8" s="84">
        <v>0</v>
      </c>
      <c r="I8" s="87">
        <v>1</v>
      </c>
      <c r="J8" s="86">
        <v>0.01</v>
      </c>
      <c r="K8" s="87">
        <v>1</v>
      </c>
      <c r="L8" s="86">
        <v>0.01</v>
      </c>
      <c r="M8" s="53">
        <v>2</v>
      </c>
      <c r="N8" s="61">
        <v>0.01</v>
      </c>
    </row>
    <row r="9" spans="2:14" x14ac:dyDescent="0.85">
      <c r="B9" s="18" t="s">
        <v>238</v>
      </c>
      <c r="C9" s="81">
        <v>56</v>
      </c>
      <c r="D9" s="82">
        <v>0.37</v>
      </c>
      <c r="E9" s="81">
        <v>61</v>
      </c>
      <c r="F9" s="82">
        <v>0.41</v>
      </c>
      <c r="G9" s="83">
        <v>117</v>
      </c>
      <c r="H9" s="84">
        <v>0.39</v>
      </c>
      <c r="I9" s="87">
        <v>94</v>
      </c>
      <c r="J9" s="86">
        <v>0.56000000000000005</v>
      </c>
      <c r="K9" s="87">
        <v>73</v>
      </c>
      <c r="L9" s="86">
        <v>0.5</v>
      </c>
      <c r="M9" s="53">
        <v>167</v>
      </c>
      <c r="N9" s="61">
        <v>0.56000000000000005</v>
      </c>
    </row>
    <row r="10" spans="2:14" x14ac:dyDescent="0.85">
      <c r="B10" s="18" t="s">
        <v>239</v>
      </c>
      <c r="C10" s="81">
        <v>8</v>
      </c>
      <c r="D10" s="82">
        <v>0.05</v>
      </c>
      <c r="E10" s="81">
        <v>14</v>
      </c>
      <c r="F10" s="82">
        <v>0.1</v>
      </c>
      <c r="G10" s="83">
        <v>22</v>
      </c>
      <c r="H10" s="84">
        <v>7.0000000000000007E-2</v>
      </c>
      <c r="I10" s="87">
        <v>10</v>
      </c>
      <c r="J10" s="86">
        <v>7.0000000000000007E-2</v>
      </c>
      <c r="K10" s="87">
        <v>24</v>
      </c>
      <c r="L10" s="86">
        <v>0.16</v>
      </c>
      <c r="M10" s="53">
        <v>34</v>
      </c>
      <c r="N10" s="61">
        <v>0.11</v>
      </c>
    </row>
    <row r="11" spans="2:14" x14ac:dyDescent="0.85">
      <c r="B11" s="18" t="s">
        <v>9</v>
      </c>
      <c r="C11" s="81">
        <v>151</v>
      </c>
      <c r="D11" s="2"/>
      <c r="E11" s="81">
        <v>147</v>
      </c>
      <c r="F11" s="2"/>
      <c r="G11" s="83">
        <v>298</v>
      </c>
      <c r="H11" s="2"/>
      <c r="I11" s="87">
        <v>151</v>
      </c>
      <c r="J11" s="2"/>
      <c r="K11" s="87">
        <v>147</v>
      </c>
      <c r="L11" s="2"/>
      <c r="M11" s="53">
        <v>298</v>
      </c>
      <c r="N11" s="2"/>
    </row>
  </sheetData>
  <sortState xmlns:xlrd2="http://schemas.microsoft.com/office/spreadsheetml/2017/richdata2" ref="B4:H6">
    <sortCondition descending="1" ref="H6"/>
  </sortState>
  <mergeCells count="1">
    <mergeCell ref="B2:H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0B8C-F2C3-4F24-A4D8-1FDB64FB66AE}">
  <dimension ref="B2:H31"/>
  <sheetViews>
    <sheetView zoomScaleNormal="100" workbookViewId="0">
      <selection activeCell="J8" sqref="J8"/>
    </sheetView>
  </sheetViews>
  <sheetFormatPr defaultColWidth="9.1796875" defaultRowHeight="20" x14ac:dyDescent="0.85"/>
  <cols>
    <col min="1" max="1" width="9.1796875" style="1"/>
    <col min="2" max="2" width="27.1796875" style="1" customWidth="1"/>
    <col min="3" max="3" width="13.453125" style="1" customWidth="1"/>
    <col min="4" max="4" width="13.81640625" style="1" customWidth="1"/>
    <col min="5" max="5" width="14.453125" style="1" customWidth="1"/>
    <col min="6" max="6" width="14.1796875" style="1" customWidth="1"/>
    <col min="7" max="16384" width="9.1796875" style="1"/>
  </cols>
  <sheetData>
    <row r="2" spans="2:8" x14ac:dyDescent="0.85">
      <c r="B2" s="1" t="s">
        <v>409</v>
      </c>
    </row>
    <row r="4" spans="2:8" x14ac:dyDescent="0.85">
      <c r="B4" s="18"/>
      <c r="C4" s="18" t="s">
        <v>43</v>
      </c>
      <c r="D4" s="18" t="s">
        <v>44</v>
      </c>
      <c r="E4" s="18" t="s">
        <v>45</v>
      </c>
      <c r="F4" s="18" t="s">
        <v>46</v>
      </c>
      <c r="G4" s="18" t="s">
        <v>15</v>
      </c>
      <c r="H4" s="18" t="s">
        <v>88</v>
      </c>
    </row>
    <row r="5" spans="2:8" x14ac:dyDescent="0.85">
      <c r="B5" s="18" t="s">
        <v>240</v>
      </c>
      <c r="C5" s="19">
        <v>26</v>
      </c>
      <c r="D5" s="20">
        <f t="shared" ref="D5:D10" si="0">C5/151</f>
        <v>0.17218543046357615</v>
      </c>
      <c r="E5" s="19">
        <v>26</v>
      </c>
      <c r="F5" s="20">
        <f t="shared" ref="F5:F10" si="1">E5/147</f>
        <v>0.17687074829931973</v>
      </c>
      <c r="G5" s="19">
        <v>52</v>
      </c>
      <c r="H5" s="20">
        <f>G5/298</f>
        <v>0.17449664429530201</v>
      </c>
    </row>
    <row r="6" spans="2:8" x14ac:dyDescent="0.85">
      <c r="B6" s="18" t="s">
        <v>241</v>
      </c>
      <c r="C6" s="19">
        <v>43</v>
      </c>
      <c r="D6" s="20">
        <f t="shared" si="0"/>
        <v>0.28476821192052981</v>
      </c>
      <c r="E6" s="19">
        <v>39</v>
      </c>
      <c r="F6" s="20">
        <f t="shared" si="1"/>
        <v>0.26530612244897961</v>
      </c>
      <c r="G6" s="19">
        <v>82</v>
      </c>
      <c r="H6" s="20">
        <f t="shared" ref="H6:H9" si="2">G6/298</f>
        <v>0.27516778523489932</v>
      </c>
    </row>
    <row r="7" spans="2:8" x14ac:dyDescent="0.85">
      <c r="B7" s="18" t="s">
        <v>242</v>
      </c>
      <c r="C7" s="19">
        <v>31</v>
      </c>
      <c r="D7" s="20">
        <f t="shared" si="0"/>
        <v>0.20529801324503311</v>
      </c>
      <c r="E7" s="19">
        <v>22</v>
      </c>
      <c r="F7" s="20">
        <f t="shared" si="1"/>
        <v>0.14965986394557823</v>
      </c>
      <c r="G7" s="19">
        <v>53</v>
      </c>
      <c r="H7" s="20">
        <f t="shared" si="2"/>
        <v>0.17785234899328858</v>
      </c>
    </row>
    <row r="8" spans="2:8" x14ac:dyDescent="0.85">
      <c r="B8" s="18" t="s">
        <v>243</v>
      </c>
      <c r="C8" s="19">
        <v>13</v>
      </c>
      <c r="D8" s="20">
        <f t="shared" si="0"/>
        <v>8.6092715231788075E-2</v>
      </c>
      <c r="E8" s="19">
        <v>6</v>
      </c>
      <c r="F8" s="20">
        <f t="shared" si="1"/>
        <v>4.0816326530612242E-2</v>
      </c>
      <c r="G8" s="19">
        <v>19</v>
      </c>
      <c r="H8" s="20">
        <f t="shared" si="2"/>
        <v>6.3758389261744972E-2</v>
      </c>
    </row>
    <row r="9" spans="2:8" x14ac:dyDescent="0.85">
      <c r="B9" s="18" t="s">
        <v>40</v>
      </c>
      <c r="C9" s="19">
        <v>4</v>
      </c>
      <c r="D9" s="20">
        <f t="shared" si="0"/>
        <v>2.6490066225165563E-2</v>
      </c>
      <c r="E9" s="19">
        <v>5</v>
      </c>
      <c r="F9" s="20">
        <f t="shared" si="1"/>
        <v>3.4013605442176874E-2</v>
      </c>
      <c r="G9" s="19">
        <v>9</v>
      </c>
      <c r="H9" s="20">
        <f t="shared" si="2"/>
        <v>3.0201342281879196E-2</v>
      </c>
    </row>
    <row r="10" spans="2:8" x14ac:dyDescent="0.85">
      <c r="B10" s="18" t="s">
        <v>244</v>
      </c>
      <c r="C10" s="19">
        <v>62</v>
      </c>
      <c r="D10" s="20">
        <f t="shared" si="0"/>
        <v>0.41059602649006621</v>
      </c>
      <c r="E10" s="19">
        <v>59</v>
      </c>
      <c r="F10" s="20">
        <f t="shared" si="1"/>
        <v>0.40136054421768708</v>
      </c>
      <c r="G10" s="19">
        <v>121</v>
      </c>
      <c r="H10" s="20">
        <f>G10/298</f>
        <v>0.40604026845637586</v>
      </c>
    </row>
    <row r="11" spans="2:8" x14ac:dyDescent="0.85">
      <c r="B11" s="18" t="s">
        <v>9</v>
      </c>
      <c r="C11" s="2">
        <v>151</v>
      </c>
      <c r="D11" s="2"/>
      <c r="E11" s="2">
        <v>147</v>
      </c>
      <c r="F11" s="2"/>
      <c r="G11" s="19">
        <v>298</v>
      </c>
      <c r="H11" s="2"/>
    </row>
    <row r="14" spans="2:8" x14ac:dyDescent="0.85">
      <c r="B14" s="51" t="s">
        <v>408</v>
      </c>
    </row>
    <row r="16" spans="2:8" x14ac:dyDescent="0.85">
      <c r="B16" s="2"/>
      <c r="C16" s="2" t="s">
        <v>87</v>
      </c>
      <c r="D16" s="2" t="s">
        <v>21</v>
      </c>
    </row>
    <row r="17" spans="2:8" x14ac:dyDescent="0.85">
      <c r="B17" s="2" t="s">
        <v>32</v>
      </c>
      <c r="C17" s="2">
        <v>67</v>
      </c>
      <c r="D17" s="9">
        <v>0.72</v>
      </c>
    </row>
    <row r="18" spans="2:8" x14ac:dyDescent="0.85">
      <c r="B18" s="2" t="s">
        <v>33</v>
      </c>
      <c r="C18" s="2">
        <v>24</v>
      </c>
      <c r="D18" s="9">
        <v>0.26</v>
      </c>
    </row>
    <row r="19" spans="2:8" x14ac:dyDescent="0.85">
      <c r="B19" s="2" t="s">
        <v>40</v>
      </c>
      <c r="C19" s="2">
        <v>2</v>
      </c>
      <c r="D19" s="9">
        <v>0.02</v>
      </c>
    </row>
    <row r="20" spans="2:8" x14ac:dyDescent="0.85">
      <c r="B20" s="2" t="s">
        <v>9</v>
      </c>
      <c r="C20" s="2">
        <v>93</v>
      </c>
      <c r="D20" s="2"/>
    </row>
    <row r="23" spans="2:8" x14ac:dyDescent="0.85">
      <c r="B23" s="1" t="s">
        <v>407</v>
      </c>
    </row>
    <row r="25" spans="2:8" x14ac:dyDescent="0.85">
      <c r="B25" s="2"/>
      <c r="C25" s="2" t="s">
        <v>43</v>
      </c>
      <c r="D25" s="2" t="s">
        <v>44</v>
      </c>
      <c r="E25" s="2" t="s">
        <v>45</v>
      </c>
      <c r="F25" s="2" t="s">
        <v>46</v>
      </c>
      <c r="G25" s="2" t="s">
        <v>15</v>
      </c>
      <c r="H25" s="2" t="s">
        <v>88</v>
      </c>
    </row>
    <row r="26" spans="2:8" x14ac:dyDescent="0.85">
      <c r="B26" s="2" t="s">
        <v>245</v>
      </c>
      <c r="C26" s="2">
        <v>3</v>
      </c>
      <c r="D26" s="11">
        <f>C26/60</f>
        <v>0.05</v>
      </c>
      <c r="E26" s="2">
        <v>1</v>
      </c>
      <c r="F26" s="11">
        <f>E26/39</f>
        <v>2.564102564102564E-2</v>
      </c>
      <c r="G26" s="2">
        <v>4</v>
      </c>
      <c r="H26" s="11">
        <f>G26/99</f>
        <v>4.0404040404040407E-2</v>
      </c>
    </row>
    <row r="27" spans="2:8" x14ac:dyDescent="0.85">
      <c r="B27" s="2" t="s">
        <v>246</v>
      </c>
      <c r="C27" s="2">
        <v>7</v>
      </c>
      <c r="D27" s="11">
        <f>C27/60</f>
        <v>0.11666666666666667</v>
      </c>
      <c r="E27" s="2">
        <v>3</v>
      </c>
      <c r="F27" s="11">
        <f>E27/39</f>
        <v>7.6923076923076927E-2</v>
      </c>
      <c r="G27" s="2">
        <v>10</v>
      </c>
      <c r="H27" s="11">
        <f>G27/99</f>
        <v>0.10101010101010101</v>
      </c>
    </row>
    <row r="28" spans="2:8" x14ac:dyDescent="0.85">
      <c r="B28" s="2" t="s">
        <v>247</v>
      </c>
      <c r="C28" s="2">
        <v>9</v>
      </c>
      <c r="D28" s="11">
        <f>C28/60</f>
        <v>0.15</v>
      </c>
      <c r="E28" s="2">
        <v>6</v>
      </c>
      <c r="F28" s="11">
        <f>E28/39</f>
        <v>0.15384615384615385</v>
      </c>
      <c r="G28" s="2">
        <v>15</v>
      </c>
      <c r="H28" s="11">
        <f>G28/99</f>
        <v>0.15151515151515152</v>
      </c>
    </row>
    <row r="29" spans="2:8" x14ac:dyDescent="0.85">
      <c r="B29" s="2" t="s">
        <v>40</v>
      </c>
      <c r="C29" s="2">
        <v>3</v>
      </c>
      <c r="D29" s="11">
        <f>C29/60</f>
        <v>0.05</v>
      </c>
      <c r="E29" s="2">
        <v>5</v>
      </c>
      <c r="F29" s="11">
        <f>E29/39</f>
        <v>0.12820512820512819</v>
      </c>
      <c r="G29" s="2">
        <v>8</v>
      </c>
      <c r="H29" s="11">
        <f>G29/99</f>
        <v>8.0808080808080815E-2</v>
      </c>
    </row>
    <row r="30" spans="2:8" x14ac:dyDescent="0.85">
      <c r="B30" s="2" t="s">
        <v>248</v>
      </c>
      <c r="C30" s="2">
        <v>38</v>
      </c>
      <c r="D30" s="11">
        <f>C30/60</f>
        <v>0.6333333333333333</v>
      </c>
      <c r="E30" s="2">
        <v>24</v>
      </c>
      <c r="F30" s="11">
        <f>E30/39</f>
        <v>0.61538461538461542</v>
      </c>
      <c r="G30" s="2">
        <v>62</v>
      </c>
      <c r="H30" s="11">
        <f>G30/99</f>
        <v>0.6262626262626263</v>
      </c>
    </row>
    <row r="31" spans="2:8" x14ac:dyDescent="0.85">
      <c r="B31" s="2" t="s">
        <v>9</v>
      </c>
      <c r="C31" s="2">
        <v>60</v>
      </c>
      <c r="D31" s="2"/>
      <c r="E31" s="2">
        <v>39</v>
      </c>
      <c r="F31" s="2"/>
      <c r="G31" s="2">
        <v>99</v>
      </c>
      <c r="H31" s="2"/>
    </row>
  </sheetData>
  <sortState xmlns:xlrd2="http://schemas.microsoft.com/office/spreadsheetml/2017/richdata2" ref="B6:H9">
    <sortCondition descending="1" ref="H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3DEF-4365-470F-84B5-4D576B108784}">
  <sheetPr>
    <tabColor rgb="FF00B050"/>
  </sheetPr>
  <dimension ref="B2:G40"/>
  <sheetViews>
    <sheetView topLeftCell="A17" workbookViewId="0">
      <selection activeCell="J37" sqref="J37"/>
    </sheetView>
  </sheetViews>
  <sheetFormatPr defaultColWidth="9.1796875" defaultRowHeight="20" x14ac:dyDescent="0.85"/>
  <cols>
    <col min="1" max="1" width="9.1796875" style="1"/>
    <col min="2" max="2" width="12.26953125" style="1" customWidth="1"/>
    <col min="3" max="3" width="14.7265625" style="1" customWidth="1"/>
    <col min="4" max="4" width="14.26953125" style="1" customWidth="1"/>
    <col min="5" max="5" width="15.1796875" style="1" customWidth="1"/>
    <col min="6" max="6" width="15.453125" style="1" customWidth="1"/>
    <col min="7" max="7" width="14.1796875" style="1" customWidth="1"/>
    <col min="8" max="16384" width="9.1796875" style="1"/>
  </cols>
  <sheetData>
    <row r="2" spans="2:4" x14ac:dyDescent="0.85">
      <c r="B2" s="10" t="s">
        <v>19</v>
      </c>
    </row>
    <row r="4" spans="2:4" x14ac:dyDescent="0.85">
      <c r="B4" s="2"/>
      <c r="C4" s="2" t="s">
        <v>20</v>
      </c>
      <c r="D4" s="2" t="s">
        <v>21</v>
      </c>
    </row>
    <row r="5" spans="2:4" x14ac:dyDescent="0.85">
      <c r="B5" s="2" t="s">
        <v>22</v>
      </c>
      <c r="C5" s="2">
        <v>201</v>
      </c>
      <c r="D5" s="11">
        <v>0.67</v>
      </c>
    </row>
    <row r="6" spans="2:4" x14ac:dyDescent="0.85">
      <c r="B6" s="2" t="s">
        <v>23</v>
      </c>
      <c r="C6" s="2">
        <v>73</v>
      </c>
      <c r="D6" s="11">
        <v>0.24</v>
      </c>
    </row>
    <row r="7" spans="2:4" x14ac:dyDescent="0.85">
      <c r="B7" s="2" t="s">
        <v>24</v>
      </c>
      <c r="C7" s="2">
        <v>21</v>
      </c>
      <c r="D7" s="11">
        <v>7.0000000000000007E-2</v>
      </c>
    </row>
    <row r="8" spans="2:4" x14ac:dyDescent="0.85">
      <c r="B8" s="2" t="s">
        <v>25</v>
      </c>
      <c r="C8" s="2">
        <v>3</v>
      </c>
      <c r="D8" s="11">
        <v>0.01</v>
      </c>
    </row>
    <row r="16" spans="2:4" x14ac:dyDescent="0.85">
      <c r="B16" s="1" t="s">
        <v>26</v>
      </c>
    </row>
    <row r="18" spans="2:7" x14ac:dyDescent="0.85">
      <c r="B18" s="2" t="s">
        <v>27</v>
      </c>
      <c r="C18" s="2" t="s">
        <v>28</v>
      </c>
      <c r="D18" s="2" t="s">
        <v>29</v>
      </c>
      <c r="E18" s="2" t="s">
        <v>30</v>
      </c>
      <c r="F18" s="2" t="s">
        <v>31</v>
      </c>
      <c r="G18" s="2" t="s">
        <v>9</v>
      </c>
    </row>
    <row r="19" spans="2:7" x14ac:dyDescent="0.85">
      <c r="B19" s="2" t="s">
        <v>32</v>
      </c>
      <c r="C19" s="2">
        <v>118</v>
      </c>
      <c r="D19" s="9">
        <v>0.39</v>
      </c>
      <c r="E19" s="2">
        <v>179</v>
      </c>
      <c r="F19" s="9">
        <v>0.57999999999999996</v>
      </c>
      <c r="G19" s="2">
        <v>297</v>
      </c>
    </row>
    <row r="20" spans="2:7" x14ac:dyDescent="0.85">
      <c r="B20" s="2" t="s">
        <v>33</v>
      </c>
      <c r="C20" s="4">
        <v>165</v>
      </c>
      <c r="D20" s="12">
        <v>0.55000000000000004</v>
      </c>
      <c r="E20" s="4">
        <v>123</v>
      </c>
      <c r="F20" s="12">
        <v>0.4</v>
      </c>
      <c r="G20" s="2">
        <v>288</v>
      </c>
    </row>
    <row r="21" spans="2:7" x14ac:dyDescent="0.85">
      <c r="B21" s="13" t="s">
        <v>34</v>
      </c>
      <c r="C21" s="14">
        <v>7</v>
      </c>
      <c r="D21" s="15">
        <v>0.02</v>
      </c>
      <c r="E21" s="14">
        <v>3</v>
      </c>
      <c r="F21" s="15">
        <v>0.01</v>
      </c>
      <c r="G21" s="8">
        <v>10</v>
      </c>
    </row>
    <row r="22" spans="2:7" x14ac:dyDescent="0.85">
      <c r="B22" s="13" t="s">
        <v>35</v>
      </c>
      <c r="C22" s="14">
        <v>1</v>
      </c>
      <c r="D22" s="15">
        <v>0</v>
      </c>
      <c r="E22" s="14">
        <v>0</v>
      </c>
      <c r="F22" s="14">
        <v>0</v>
      </c>
      <c r="G22" s="8">
        <v>1</v>
      </c>
    </row>
    <row r="23" spans="2:7" x14ac:dyDescent="0.85">
      <c r="B23" s="13" t="s">
        <v>36</v>
      </c>
      <c r="C23" s="14">
        <v>2</v>
      </c>
      <c r="D23" s="15">
        <v>0.01</v>
      </c>
      <c r="E23" s="14">
        <v>0</v>
      </c>
      <c r="F23" s="14">
        <v>0</v>
      </c>
      <c r="G23" s="8">
        <v>2</v>
      </c>
    </row>
    <row r="24" spans="2:7" x14ac:dyDescent="0.85">
      <c r="B24" s="13" t="s">
        <v>37</v>
      </c>
      <c r="C24" s="14">
        <v>1</v>
      </c>
      <c r="D24" s="15">
        <v>0</v>
      </c>
      <c r="E24" s="14">
        <v>0</v>
      </c>
      <c r="F24" s="14">
        <v>0</v>
      </c>
      <c r="G24" s="8">
        <v>1</v>
      </c>
    </row>
    <row r="25" spans="2:7" x14ac:dyDescent="0.85">
      <c r="B25" s="13" t="s">
        <v>38</v>
      </c>
      <c r="C25" s="14">
        <v>2</v>
      </c>
      <c r="D25" s="15">
        <v>0.01</v>
      </c>
      <c r="E25" s="14">
        <v>1</v>
      </c>
      <c r="F25" s="15">
        <v>0</v>
      </c>
      <c r="G25" s="8">
        <v>3</v>
      </c>
    </row>
    <row r="26" spans="2:7" x14ac:dyDescent="0.85">
      <c r="B26" s="13" t="s">
        <v>39</v>
      </c>
      <c r="C26" s="14">
        <v>1</v>
      </c>
      <c r="D26" s="15">
        <v>0</v>
      </c>
      <c r="E26" s="14">
        <v>0</v>
      </c>
      <c r="F26" s="14">
        <v>0</v>
      </c>
      <c r="G26" s="8">
        <v>1</v>
      </c>
    </row>
    <row r="27" spans="2:7" x14ac:dyDescent="0.85">
      <c r="B27" s="13" t="s">
        <v>40</v>
      </c>
      <c r="C27" s="14">
        <v>5</v>
      </c>
      <c r="D27" s="15">
        <v>0.02</v>
      </c>
      <c r="E27" s="14">
        <v>2</v>
      </c>
      <c r="F27" s="15">
        <v>0.01</v>
      </c>
      <c r="G27" s="8">
        <v>7</v>
      </c>
    </row>
    <row r="28" spans="2:7" x14ac:dyDescent="0.85">
      <c r="B28" s="2" t="s">
        <v>9</v>
      </c>
      <c r="C28" s="7">
        <v>302</v>
      </c>
      <c r="D28" s="16"/>
      <c r="E28" s="7">
        <v>308</v>
      </c>
      <c r="F28" s="7"/>
      <c r="G28" s="2">
        <v>610</v>
      </c>
    </row>
    <row r="31" spans="2:7" x14ac:dyDescent="0.85">
      <c r="B31" s="1" t="s">
        <v>41</v>
      </c>
    </row>
    <row r="33" spans="2:7" x14ac:dyDescent="0.85">
      <c r="B33" s="2" t="s">
        <v>27</v>
      </c>
      <c r="C33" s="2" t="s">
        <v>42</v>
      </c>
      <c r="D33" s="2" t="s">
        <v>43</v>
      </c>
      <c r="E33" s="2" t="s">
        <v>44</v>
      </c>
      <c r="F33" s="2" t="s">
        <v>45</v>
      </c>
      <c r="G33" s="2" t="s">
        <v>46</v>
      </c>
    </row>
    <row r="34" spans="2:7" x14ac:dyDescent="0.85">
      <c r="B34" s="2" t="s">
        <v>32</v>
      </c>
      <c r="C34" s="2" t="s">
        <v>47</v>
      </c>
      <c r="D34" s="2">
        <v>69</v>
      </c>
      <c r="E34" s="9">
        <v>0.46</v>
      </c>
      <c r="F34" s="2">
        <v>49</v>
      </c>
      <c r="G34" s="9">
        <v>0.33</v>
      </c>
    </row>
    <row r="35" spans="2:7" x14ac:dyDescent="0.85">
      <c r="B35" s="2"/>
      <c r="C35" s="2" t="s">
        <v>48</v>
      </c>
      <c r="D35" s="2">
        <v>80</v>
      </c>
      <c r="E35" s="9">
        <v>0.53</v>
      </c>
      <c r="F35" s="2">
        <v>97</v>
      </c>
      <c r="G35" s="9">
        <v>0.66</v>
      </c>
    </row>
    <row r="36" spans="2:7" x14ac:dyDescent="0.85">
      <c r="B36" s="2" t="s">
        <v>33</v>
      </c>
      <c r="C36" s="2" t="s">
        <v>47</v>
      </c>
      <c r="D36" s="2">
        <v>76</v>
      </c>
      <c r="E36" s="9">
        <v>0.5</v>
      </c>
      <c r="F36" s="2">
        <v>89</v>
      </c>
      <c r="G36" s="9">
        <v>0.61</v>
      </c>
    </row>
    <row r="37" spans="2:7" x14ac:dyDescent="0.85">
      <c r="B37" s="2"/>
      <c r="C37" s="2" t="s">
        <v>48</v>
      </c>
      <c r="D37" s="2">
        <v>67</v>
      </c>
      <c r="E37" s="9">
        <v>0.44</v>
      </c>
      <c r="F37" s="2">
        <v>49</v>
      </c>
      <c r="G37" s="9">
        <v>0.33</v>
      </c>
    </row>
    <row r="38" spans="2:7" x14ac:dyDescent="0.85">
      <c r="B38" s="2" t="s">
        <v>40</v>
      </c>
      <c r="C38" s="2" t="s">
        <v>47</v>
      </c>
      <c r="D38" s="2">
        <v>6</v>
      </c>
      <c r="E38" s="9">
        <v>0.04</v>
      </c>
      <c r="F38" s="2">
        <v>9</v>
      </c>
      <c r="G38" s="9">
        <v>0.06</v>
      </c>
    </row>
    <row r="39" spans="2:7" x14ac:dyDescent="0.85">
      <c r="B39" s="2"/>
      <c r="C39" s="2" t="s">
        <v>48</v>
      </c>
      <c r="D39" s="2">
        <v>4</v>
      </c>
      <c r="E39" s="9">
        <v>0.03</v>
      </c>
      <c r="F39" s="2">
        <v>1</v>
      </c>
      <c r="G39" s="9">
        <v>0.01</v>
      </c>
    </row>
    <row r="40" spans="2:7" x14ac:dyDescent="0.85">
      <c r="B40" s="2" t="s">
        <v>49</v>
      </c>
      <c r="C40" s="2"/>
      <c r="D40" s="2">
        <v>151</v>
      </c>
      <c r="E40" s="2"/>
      <c r="F40" s="2">
        <v>147</v>
      </c>
      <c r="G40" s="2"/>
    </row>
  </sheetData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A5EB-7B6D-4F8E-8D92-1E8A7348FB37}">
  <sheetPr>
    <tabColor rgb="FF00B050"/>
  </sheetPr>
  <dimension ref="B3:I50"/>
  <sheetViews>
    <sheetView topLeftCell="A10" workbookViewId="0">
      <selection activeCell="I21" sqref="I21"/>
    </sheetView>
  </sheetViews>
  <sheetFormatPr defaultColWidth="9.1796875" defaultRowHeight="20" x14ac:dyDescent="0.85"/>
  <cols>
    <col min="1" max="1" width="9.1796875" style="1"/>
    <col min="2" max="2" width="37.1796875" style="1" bestFit="1" customWidth="1"/>
    <col min="3" max="3" width="15.7265625" style="1" customWidth="1"/>
    <col min="4" max="4" width="13.81640625" style="1" customWidth="1"/>
    <col min="5" max="5" width="16.1796875" style="1" customWidth="1"/>
    <col min="6" max="6" width="15.54296875" style="1" customWidth="1"/>
    <col min="7" max="7" width="16.453125" style="1" customWidth="1"/>
    <col min="8" max="8" width="14.7265625" style="1" customWidth="1"/>
    <col min="9" max="9" width="12.1796875" style="1" customWidth="1"/>
    <col min="10" max="16384" width="9.1796875" style="1"/>
  </cols>
  <sheetData>
    <row r="3" spans="2:9" x14ac:dyDescent="0.85">
      <c r="B3" s="101" t="s">
        <v>448</v>
      </c>
      <c r="C3" s="101"/>
      <c r="D3" s="101"/>
      <c r="E3" s="101"/>
      <c r="F3" s="101"/>
      <c r="G3" s="102"/>
    </row>
    <row r="4" spans="2:9" x14ac:dyDescent="0.85">
      <c r="B4" s="18"/>
      <c r="C4" s="18" t="s">
        <v>43</v>
      </c>
      <c r="D4" s="18" t="s">
        <v>44</v>
      </c>
      <c r="E4" s="18" t="s">
        <v>45</v>
      </c>
      <c r="F4" s="18" t="s">
        <v>46</v>
      </c>
      <c r="G4" s="48" t="s">
        <v>15</v>
      </c>
      <c r="H4" s="47" t="s">
        <v>88</v>
      </c>
    </row>
    <row r="5" spans="2:9" x14ac:dyDescent="0.85">
      <c r="B5" s="18" t="s">
        <v>249</v>
      </c>
      <c r="C5" s="19">
        <v>28</v>
      </c>
      <c r="D5" s="20">
        <f>C5/140</f>
        <v>0.2</v>
      </c>
      <c r="E5" s="19">
        <v>13</v>
      </c>
      <c r="F5" s="20">
        <f>E5/119</f>
        <v>0.1092436974789916</v>
      </c>
      <c r="G5" s="49">
        <v>41</v>
      </c>
      <c r="H5" s="11">
        <f>G5/259</f>
        <v>0.15830115830115829</v>
      </c>
    </row>
    <row r="6" spans="2:9" x14ac:dyDescent="0.85">
      <c r="B6" s="18" t="s">
        <v>449</v>
      </c>
      <c r="C6" s="19">
        <v>6</v>
      </c>
      <c r="D6" s="20">
        <f>C6/140</f>
        <v>4.2857142857142858E-2</v>
      </c>
      <c r="E6" s="19">
        <v>0</v>
      </c>
      <c r="F6" s="20">
        <f>E6/119</f>
        <v>0</v>
      </c>
      <c r="G6" s="49">
        <v>6</v>
      </c>
      <c r="H6" s="11">
        <f>G6/259</f>
        <v>2.3166023166023165E-2</v>
      </c>
    </row>
    <row r="7" spans="2:9" x14ac:dyDescent="0.85">
      <c r="B7" s="18" t="s">
        <v>450</v>
      </c>
      <c r="C7" s="19">
        <v>9</v>
      </c>
      <c r="D7" s="20">
        <f>C7/140</f>
        <v>6.4285714285714279E-2</v>
      </c>
      <c r="E7" s="19">
        <v>3</v>
      </c>
      <c r="F7" s="20">
        <f>E7/119</f>
        <v>2.5210084033613446E-2</v>
      </c>
      <c r="G7" s="49">
        <v>12</v>
      </c>
      <c r="H7" s="11">
        <f>G7/259</f>
        <v>4.633204633204633E-2</v>
      </c>
    </row>
    <row r="8" spans="2:9" x14ac:dyDescent="0.85">
      <c r="B8" s="18" t="s">
        <v>9</v>
      </c>
      <c r="C8" s="19">
        <v>140</v>
      </c>
      <c r="D8" s="2"/>
      <c r="E8" s="19">
        <v>119</v>
      </c>
      <c r="F8" s="2"/>
      <c r="G8" s="50">
        <v>259</v>
      </c>
      <c r="H8" s="2"/>
    </row>
    <row r="11" spans="2:9" x14ac:dyDescent="0.85">
      <c r="B11" s="1" t="s">
        <v>455</v>
      </c>
    </row>
    <row r="13" spans="2:9" x14ac:dyDescent="0.85">
      <c r="B13" s="47" t="s">
        <v>112</v>
      </c>
      <c r="C13" s="47" t="s">
        <v>456</v>
      </c>
      <c r="D13" s="47" t="s">
        <v>457</v>
      </c>
      <c r="E13" s="47" t="s">
        <v>458</v>
      </c>
      <c r="F13" s="47" t="s">
        <v>459</v>
      </c>
      <c r="G13" s="47" t="s">
        <v>460</v>
      </c>
      <c r="H13" s="47" t="s">
        <v>461</v>
      </c>
      <c r="I13" s="47" t="s">
        <v>447</v>
      </c>
    </row>
    <row r="14" spans="2:9" x14ac:dyDescent="0.85">
      <c r="B14" s="47" t="s">
        <v>462</v>
      </c>
      <c r="C14" s="2">
        <v>43</v>
      </c>
      <c r="D14" s="11">
        <f>C14/59</f>
        <v>0.72881355932203384</v>
      </c>
      <c r="E14" s="2">
        <v>17</v>
      </c>
      <c r="F14" s="11">
        <f>E14/18</f>
        <v>0.94444444444444442</v>
      </c>
      <c r="G14" s="2">
        <v>12</v>
      </c>
      <c r="H14" s="9">
        <v>1</v>
      </c>
      <c r="I14" s="9">
        <v>0.59</v>
      </c>
    </row>
    <row r="15" spans="2:9" x14ac:dyDescent="0.85">
      <c r="B15" s="47" t="s">
        <v>115</v>
      </c>
      <c r="C15" s="2">
        <v>28</v>
      </c>
      <c r="D15" s="11">
        <f>C15/59</f>
        <v>0.47457627118644069</v>
      </c>
      <c r="E15" s="2">
        <v>12</v>
      </c>
      <c r="F15" s="11">
        <f>E15/18</f>
        <v>0.66666666666666663</v>
      </c>
      <c r="G15" s="2">
        <v>6</v>
      </c>
      <c r="H15" s="9">
        <v>0.5</v>
      </c>
      <c r="I15" s="9">
        <v>0.35</v>
      </c>
    </row>
    <row r="16" spans="2:9" x14ac:dyDescent="0.85">
      <c r="B16" s="47" t="s">
        <v>463</v>
      </c>
      <c r="C16" s="2">
        <v>11</v>
      </c>
      <c r="D16" s="11">
        <f>C16/59</f>
        <v>0.1864406779661017</v>
      </c>
      <c r="E16" s="2">
        <v>3</v>
      </c>
      <c r="F16" s="11">
        <f>E16/18</f>
        <v>0.16666666666666666</v>
      </c>
      <c r="G16" s="2">
        <v>3</v>
      </c>
      <c r="H16" s="9">
        <v>0.25</v>
      </c>
      <c r="I16" s="9">
        <v>0.2</v>
      </c>
    </row>
    <row r="17" spans="2:9" x14ac:dyDescent="0.85">
      <c r="B17" s="47" t="s">
        <v>464</v>
      </c>
      <c r="C17" s="2">
        <v>48</v>
      </c>
      <c r="D17" s="11">
        <f>C17/59</f>
        <v>0.81355932203389836</v>
      </c>
      <c r="E17" s="2">
        <v>15</v>
      </c>
      <c r="F17" s="11">
        <f>E17/18</f>
        <v>0.83333333333333337</v>
      </c>
      <c r="G17" s="2">
        <v>9</v>
      </c>
      <c r="H17" s="9">
        <v>0.75</v>
      </c>
      <c r="I17" s="9">
        <v>0.76</v>
      </c>
    </row>
    <row r="18" spans="2:9" x14ac:dyDescent="0.85">
      <c r="B18" s="47" t="s">
        <v>465</v>
      </c>
      <c r="C18" s="2">
        <v>24</v>
      </c>
      <c r="D18" s="11">
        <f>C18/59</f>
        <v>0.40677966101694918</v>
      </c>
      <c r="E18" s="2">
        <v>9</v>
      </c>
      <c r="F18" s="11">
        <f>E18/18</f>
        <v>0.5</v>
      </c>
      <c r="G18" s="2">
        <v>5</v>
      </c>
      <c r="H18" s="9">
        <v>0.42</v>
      </c>
      <c r="I18" s="9">
        <v>0.32</v>
      </c>
    </row>
    <row r="19" spans="2:9" x14ac:dyDescent="0.85">
      <c r="B19" s="47" t="s">
        <v>9</v>
      </c>
      <c r="C19" s="2">
        <v>59</v>
      </c>
      <c r="D19" s="2"/>
      <c r="E19" s="2">
        <v>18</v>
      </c>
      <c r="F19" s="2"/>
      <c r="G19" s="2">
        <v>12</v>
      </c>
      <c r="H19" s="2"/>
      <c r="I19" s="2"/>
    </row>
    <row r="22" spans="2:9" x14ac:dyDescent="0.85">
      <c r="B22" s="1" t="s">
        <v>468</v>
      </c>
    </row>
    <row r="24" spans="2:9" x14ac:dyDescent="0.85">
      <c r="B24" s="2" t="s">
        <v>467</v>
      </c>
      <c r="C24" s="2" t="s">
        <v>209</v>
      </c>
      <c r="D24" s="2" t="s">
        <v>20</v>
      </c>
    </row>
    <row r="25" spans="2:9" x14ac:dyDescent="0.85">
      <c r="B25" s="65" t="s">
        <v>252</v>
      </c>
      <c r="C25" s="65">
        <v>11</v>
      </c>
      <c r="D25" s="65">
        <v>1</v>
      </c>
    </row>
    <row r="26" spans="2:9" x14ac:dyDescent="0.85">
      <c r="B26" s="65" t="s">
        <v>253</v>
      </c>
      <c r="C26" s="65">
        <v>5</v>
      </c>
      <c r="D26" s="65">
        <v>7</v>
      </c>
    </row>
    <row r="27" spans="2:9" x14ac:dyDescent="0.85">
      <c r="B27" s="2" t="s">
        <v>376</v>
      </c>
      <c r="C27" s="2">
        <v>5</v>
      </c>
      <c r="D27" s="2">
        <v>7</v>
      </c>
    </row>
    <row r="28" spans="2:9" x14ac:dyDescent="0.85">
      <c r="B28" s="2" t="s">
        <v>377</v>
      </c>
      <c r="C28" s="2">
        <v>6</v>
      </c>
      <c r="D28" s="2">
        <v>6</v>
      </c>
    </row>
    <row r="29" spans="2:9" x14ac:dyDescent="0.85">
      <c r="B29" s="2" t="s">
        <v>375</v>
      </c>
      <c r="C29" s="2">
        <v>1</v>
      </c>
      <c r="D29" s="2">
        <v>11</v>
      </c>
    </row>
    <row r="30" spans="2:9" x14ac:dyDescent="0.85">
      <c r="B30" s="65" t="s">
        <v>254</v>
      </c>
      <c r="C30" s="65">
        <v>1</v>
      </c>
      <c r="D30" s="65">
        <v>6</v>
      </c>
    </row>
    <row r="31" spans="2:9" x14ac:dyDescent="0.85">
      <c r="B31" s="2" t="s">
        <v>9</v>
      </c>
      <c r="C31" s="2">
        <v>12</v>
      </c>
      <c r="D31" s="2"/>
    </row>
    <row r="34" spans="2:5" x14ac:dyDescent="0.85">
      <c r="B34" s="1" t="s">
        <v>469</v>
      </c>
    </row>
    <row r="36" spans="2:5" x14ac:dyDescent="0.85">
      <c r="B36" s="2" t="s">
        <v>466</v>
      </c>
      <c r="C36" s="2" t="s">
        <v>7</v>
      </c>
      <c r="D36" s="2" t="s">
        <v>8</v>
      </c>
      <c r="E36" s="2" t="s">
        <v>9</v>
      </c>
    </row>
    <row r="37" spans="2:5" x14ac:dyDescent="0.85">
      <c r="B37" s="2" t="s">
        <v>255</v>
      </c>
      <c r="C37" s="2">
        <v>1</v>
      </c>
      <c r="D37" s="2">
        <v>1</v>
      </c>
      <c r="E37" s="2">
        <v>2</v>
      </c>
    </row>
    <row r="38" spans="2:5" x14ac:dyDescent="0.85">
      <c r="B38" s="2" t="s">
        <v>256</v>
      </c>
      <c r="C38" s="2">
        <v>3</v>
      </c>
      <c r="D38" s="2">
        <v>0</v>
      </c>
      <c r="E38" s="2">
        <v>3</v>
      </c>
    </row>
    <row r="39" spans="2:5" x14ac:dyDescent="0.85">
      <c r="B39" s="2" t="s">
        <v>257</v>
      </c>
      <c r="C39" s="2">
        <v>2</v>
      </c>
      <c r="D39" s="2">
        <v>1</v>
      </c>
      <c r="E39" s="2">
        <v>3</v>
      </c>
    </row>
    <row r="40" spans="2:5" x14ac:dyDescent="0.85">
      <c r="B40" s="2" t="s">
        <v>258</v>
      </c>
      <c r="C40" s="2">
        <v>1</v>
      </c>
      <c r="D40" s="2">
        <v>0</v>
      </c>
      <c r="E40" s="2">
        <v>1</v>
      </c>
    </row>
    <row r="41" spans="2:5" x14ac:dyDescent="0.85">
      <c r="B41" s="2" t="s">
        <v>259</v>
      </c>
      <c r="C41" s="2">
        <v>2</v>
      </c>
      <c r="D41" s="2">
        <v>1</v>
      </c>
      <c r="E41" s="2">
        <v>3</v>
      </c>
    </row>
    <row r="42" spans="2:5" x14ac:dyDescent="0.85">
      <c r="B42" s="2" t="s">
        <v>94</v>
      </c>
      <c r="C42" s="2">
        <v>2.4</v>
      </c>
      <c r="D42" s="2">
        <v>2</v>
      </c>
      <c r="E42" s="2">
        <v>2.2999999999999998</v>
      </c>
    </row>
    <row r="43" spans="2:5" x14ac:dyDescent="0.85">
      <c r="B43" s="2" t="s">
        <v>93</v>
      </c>
      <c r="C43" s="2">
        <v>2</v>
      </c>
      <c r="D43" s="2">
        <v>2</v>
      </c>
      <c r="E43" s="2">
        <v>2</v>
      </c>
    </row>
    <row r="46" spans="2:5" x14ac:dyDescent="0.85">
      <c r="B46" s="1" t="s">
        <v>470</v>
      </c>
    </row>
    <row r="48" spans="2:5" x14ac:dyDescent="0.85">
      <c r="B48" s="2" t="s">
        <v>260</v>
      </c>
      <c r="C48" s="2">
        <v>3</v>
      </c>
    </row>
    <row r="49" spans="2:3" x14ac:dyDescent="0.85">
      <c r="B49" s="2" t="s">
        <v>70</v>
      </c>
      <c r="C49" s="2">
        <v>3</v>
      </c>
    </row>
    <row r="50" spans="2:3" x14ac:dyDescent="0.85">
      <c r="B50" s="2" t="s">
        <v>9</v>
      </c>
      <c r="C50" s="2">
        <v>6</v>
      </c>
    </row>
  </sheetData>
  <mergeCells count="1">
    <mergeCell ref="B3:G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F287-1FA5-452E-9A20-CC3877CEC4F0}">
  <sheetPr>
    <tabColor rgb="FF00B050"/>
  </sheetPr>
  <dimension ref="B2:I43"/>
  <sheetViews>
    <sheetView topLeftCell="A24" workbookViewId="0">
      <selection activeCell="E11" sqref="E11"/>
    </sheetView>
  </sheetViews>
  <sheetFormatPr defaultColWidth="9.1796875" defaultRowHeight="20" x14ac:dyDescent="0.85"/>
  <cols>
    <col min="1" max="1" width="9.1796875" style="1"/>
    <col min="2" max="2" width="28.54296875" style="1" customWidth="1"/>
    <col min="3" max="3" width="17.7265625" style="1" customWidth="1"/>
    <col min="4" max="4" width="14.1796875" style="1" customWidth="1"/>
    <col min="5" max="5" width="9.1796875" style="1"/>
    <col min="6" max="6" width="13.1796875" style="1" customWidth="1"/>
    <col min="7" max="7" width="15.7265625" style="1" customWidth="1"/>
    <col min="8" max="16384" width="9.1796875" style="1"/>
  </cols>
  <sheetData>
    <row r="2" spans="2:8" x14ac:dyDescent="0.85">
      <c r="B2" s="51" t="s">
        <v>451</v>
      </c>
    </row>
    <row r="3" spans="2:8" x14ac:dyDescent="0.85">
      <c r="B3" s="2"/>
      <c r="C3" s="52" t="s">
        <v>261</v>
      </c>
      <c r="D3" s="52" t="s">
        <v>262</v>
      </c>
      <c r="E3" s="53" t="s">
        <v>7</v>
      </c>
      <c r="F3" s="53" t="s">
        <v>8</v>
      </c>
      <c r="G3" s="2" t="s">
        <v>15</v>
      </c>
      <c r="H3" s="2" t="s">
        <v>88</v>
      </c>
    </row>
    <row r="4" spans="2:8" x14ac:dyDescent="0.85">
      <c r="B4" s="2" t="s">
        <v>263</v>
      </c>
      <c r="C4" s="52">
        <v>6</v>
      </c>
      <c r="D4" s="52">
        <v>4</v>
      </c>
      <c r="E4" s="53">
        <v>9</v>
      </c>
      <c r="F4" s="53">
        <v>1</v>
      </c>
      <c r="G4" s="2">
        <v>10</v>
      </c>
      <c r="H4" s="9">
        <v>0.17</v>
      </c>
    </row>
    <row r="5" spans="2:8" x14ac:dyDescent="0.85">
      <c r="B5" s="2" t="s">
        <v>264</v>
      </c>
      <c r="C5" s="52">
        <v>1</v>
      </c>
      <c r="D5" s="52">
        <v>4</v>
      </c>
      <c r="E5" s="53">
        <v>4</v>
      </c>
      <c r="F5" s="53">
        <v>1</v>
      </c>
      <c r="G5" s="2">
        <v>5</v>
      </c>
      <c r="H5" s="9">
        <v>0.08</v>
      </c>
    </row>
    <row r="6" spans="2:8" x14ac:dyDescent="0.85">
      <c r="B6" s="2" t="s">
        <v>265</v>
      </c>
      <c r="C6" s="52">
        <v>6</v>
      </c>
      <c r="D6" s="52">
        <v>8</v>
      </c>
      <c r="E6" s="53">
        <v>9</v>
      </c>
      <c r="F6" s="53">
        <v>5</v>
      </c>
      <c r="G6" s="2">
        <v>14</v>
      </c>
      <c r="H6" s="9">
        <v>0.24</v>
      </c>
    </row>
    <row r="7" spans="2:8" x14ac:dyDescent="0.85">
      <c r="B7" s="2" t="s">
        <v>266</v>
      </c>
      <c r="C7" s="52">
        <v>28</v>
      </c>
      <c r="D7" s="52">
        <v>2</v>
      </c>
      <c r="E7" s="53">
        <v>21</v>
      </c>
      <c r="F7" s="53">
        <v>9</v>
      </c>
      <c r="G7" s="2">
        <v>30</v>
      </c>
      <c r="H7" s="9">
        <v>0.51</v>
      </c>
    </row>
    <row r="8" spans="2:8" x14ac:dyDescent="0.85">
      <c r="B8" s="2" t="s">
        <v>9</v>
      </c>
      <c r="C8" s="52">
        <v>41</v>
      </c>
      <c r="D8" s="52">
        <v>18</v>
      </c>
      <c r="E8" s="53">
        <v>43</v>
      </c>
      <c r="F8" s="53">
        <v>16</v>
      </c>
      <c r="G8" s="2">
        <v>59</v>
      </c>
      <c r="H8" s="2"/>
    </row>
    <row r="10" spans="2:8" x14ac:dyDescent="0.85">
      <c r="B10" s="1" t="s">
        <v>452</v>
      </c>
    </row>
    <row r="11" spans="2:8" x14ac:dyDescent="0.85">
      <c r="B11" s="1" t="s">
        <v>453</v>
      </c>
    </row>
    <row r="14" spans="2:8" x14ac:dyDescent="0.85">
      <c r="B14" s="1" t="s">
        <v>412</v>
      </c>
    </row>
    <row r="16" spans="2:8" x14ac:dyDescent="0.85">
      <c r="B16" s="2"/>
      <c r="C16" s="2" t="s">
        <v>7</v>
      </c>
      <c r="D16" s="2" t="s">
        <v>8</v>
      </c>
      <c r="E16" s="2" t="s">
        <v>9</v>
      </c>
    </row>
    <row r="17" spans="2:9" x14ac:dyDescent="0.85">
      <c r="B17" s="2" t="s">
        <v>92</v>
      </c>
      <c r="C17" s="2">
        <v>3</v>
      </c>
      <c r="D17" s="2">
        <v>2</v>
      </c>
      <c r="E17" s="2">
        <v>2</v>
      </c>
    </row>
    <row r="18" spans="2:9" x14ac:dyDescent="0.85">
      <c r="B18" s="2" t="s">
        <v>95</v>
      </c>
      <c r="C18" s="2">
        <v>71</v>
      </c>
      <c r="D18" s="2">
        <v>11</v>
      </c>
      <c r="E18" s="2">
        <v>71</v>
      </c>
    </row>
    <row r="19" spans="2:9" x14ac:dyDescent="0.85">
      <c r="B19" s="2" t="s">
        <v>94</v>
      </c>
      <c r="C19" s="2">
        <v>17.7</v>
      </c>
      <c r="D19" s="2">
        <v>5.8</v>
      </c>
      <c r="E19" s="2">
        <v>14.5</v>
      </c>
    </row>
    <row r="20" spans="2:9" x14ac:dyDescent="0.85">
      <c r="B20" s="2" t="s">
        <v>93</v>
      </c>
      <c r="C20" s="2">
        <v>13</v>
      </c>
      <c r="D20" s="2">
        <v>4</v>
      </c>
      <c r="E20" s="2">
        <v>11</v>
      </c>
    </row>
    <row r="23" spans="2:9" x14ac:dyDescent="0.85">
      <c r="B23" s="1" t="s">
        <v>411</v>
      </c>
    </row>
    <row r="25" spans="2:9" ht="60" x14ac:dyDescent="0.85">
      <c r="B25" s="2"/>
      <c r="C25" s="53" t="s">
        <v>7</v>
      </c>
      <c r="D25" s="53" t="s">
        <v>8</v>
      </c>
      <c r="E25" s="52" t="s">
        <v>267</v>
      </c>
      <c r="F25" s="54" t="s">
        <v>268</v>
      </c>
      <c r="G25" s="54" t="s">
        <v>269</v>
      </c>
      <c r="H25" s="2" t="s">
        <v>15</v>
      </c>
      <c r="I25" s="2" t="s">
        <v>88</v>
      </c>
    </row>
    <row r="26" spans="2:9" x14ac:dyDescent="0.85">
      <c r="B26" s="2" t="s">
        <v>270</v>
      </c>
      <c r="C26" s="53">
        <v>15</v>
      </c>
      <c r="D26" s="53">
        <v>5</v>
      </c>
      <c r="E26" s="52">
        <v>11</v>
      </c>
      <c r="F26" s="52"/>
      <c r="G26" s="52"/>
      <c r="H26" s="2">
        <v>20</v>
      </c>
      <c r="I26" s="9">
        <v>0.83</v>
      </c>
    </row>
    <row r="27" spans="2:9" x14ac:dyDescent="0.85">
      <c r="B27" s="2" t="s">
        <v>271</v>
      </c>
      <c r="C27" s="53">
        <v>6</v>
      </c>
      <c r="D27" s="53">
        <v>3</v>
      </c>
      <c r="E27" s="52">
        <v>1</v>
      </c>
      <c r="F27" s="52">
        <v>6</v>
      </c>
      <c r="G27" s="52">
        <v>1</v>
      </c>
      <c r="H27" s="2">
        <v>9</v>
      </c>
      <c r="I27" s="5">
        <v>0.375</v>
      </c>
    </row>
    <row r="28" spans="2:9" x14ac:dyDescent="0.85">
      <c r="B28" s="2" t="s">
        <v>272</v>
      </c>
      <c r="C28" s="53">
        <v>7</v>
      </c>
      <c r="D28" s="53">
        <v>2</v>
      </c>
      <c r="E28" s="52">
        <v>1</v>
      </c>
      <c r="F28" s="52">
        <v>7</v>
      </c>
      <c r="G28" s="52">
        <v>1</v>
      </c>
      <c r="H28" s="2">
        <v>9</v>
      </c>
      <c r="I28" s="5">
        <v>0.375</v>
      </c>
    </row>
    <row r="29" spans="2:9" x14ac:dyDescent="0.85">
      <c r="B29" s="2" t="s">
        <v>273</v>
      </c>
      <c r="C29" s="53">
        <v>4</v>
      </c>
      <c r="D29" s="53">
        <v>1</v>
      </c>
      <c r="E29" s="52">
        <v>1</v>
      </c>
      <c r="F29" s="52">
        <v>4</v>
      </c>
      <c r="G29" s="52">
        <v>0</v>
      </c>
      <c r="H29" s="2">
        <v>5</v>
      </c>
      <c r="I29" s="9">
        <v>0.21</v>
      </c>
    </row>
    <row r="30" spans="2:9" x14ac:dyDescent="0.85">
      <c r="B30" s="2" t="s">
        <v>9</v>
      </c>
      <c r="C30" s="53">
        <v>18</v>
      </c>
      <c r="D30" s="53">
        <v>6</v>
      </c>
      <c r="E30" s="52">
        <v>14</v>
      </c>
      <c r="F30" s="52">
        <v>9</v>
      </c>
      <c r="G30" s="52">
        <v>1</v>
      </c>
      <c r="H30" s="2">
        <v>24</v>
      </c>
      <c r="I30" s="2"/>
    </row>
    <row r="33" spans="2:8" x14ac:dyDescent="0.85">
      <c r="B33" s="1" t="s">
        <v>410</v>
      </c>
    </row>
    <row r="35" spans="2:8" x14ac:dyDescent="0.85">
      <c r="B35" s="2"/>
      <c r="C35" s="53" t="s">
        <v>7</v>
      </c>
      <c r="D35" s="53" t="s">
        <v>8</v>
      </c>
      <c r="E35" s="52" t="s">
        <v>267</v>
      </c>
      <c r="F35" s="52" t="s">
        <v>274</v>
      </c>
      <c r="G35" s="2" t="s">
        <v>15</v>
      </c>
      <c r="H35" s="2" t="s">
        <v>88</v>
      </c>
    </row>
    <row r="36" spans="2:8" x14ac:dyDescent="0.85">
      <c r="B36" s="2" t="s">
        <v>275</v>
      </c>
      <c r="C36" s="53">
        <v>8</v>
      </c>
      <c r="D36" s="53">
        <v>0</v>
      </c>
      <c r="E36" s="52">
        <v>0</v>
      </c>
      <c r="F36" s="52">
        <v>8</v>
      </c>
      <c r="G36" s="2">
        <v>8</v>
      </c>
      <c r="H36" s="9">
        <v>0.33</v>
      </c>
    </row>
    <row r="37" spans="2:8" x14ac:dyDescent="0.85">
      <c r="B37" s="2" t="s">
        <v>276</v>
      </c>
      <c r="C37" s="53">
        <v>12</v>
      </c>
      <c r="D37" s="53">
        <v>1</v>
      </c>
      <c r="E37" s="52">
        <v>0</v>
      </c>
      <c r="F37" s="52">
        <v>13</v>
      </c>
      <c r="G37" s="2">
        <v>13</v>
      </c>
      <c r="H37" s="9">
        <v>0.54</v>
      </c>
    </row>
    <row r="38" spans="2:8" x14ac:dyDescent="0.85">
      <c r="B38" s="2" t="s">
        <v>277</v>
      </c>
      <c r="C38" s="53">
        <v>13</v>
      </c>
      <c r="D38" s="53">
        <v>4</v>
      </c>
      <c r="E38" s="52">
        <v>2</v>
      </c>
      <c r="F38" s="52">
        <v>15</v>
      </c>
      <c r="G38" s="2">
        <v>17</v>
      </c>
      <c r="H38" s="9">
        <v>0.71</v>
      </c>
    </row>
    <row r="39" spans="2:8" x14ac:dyDescent="0.85">
      <c r="B39" s="2" t="s">
        <v>278</v>
      </c>
      <c r="C39" s="53">
        <v>4</v>
      </c>
      <c r="D39" s="53">
        <v>1</v>
      </c>
      <c r="E39" s="52">
        <v>0</v>
      </c>
      <c r="F39" s="52">
        <v>5</v>
      </c>
      <c r="G39" s="2">
        <v>5</v>
      </c>
      <c r="H39" s="9">
        <v>0.21</v>
      </c>
    </row>
    <row r="40" spans="2:8" x14ac:dyDescent="0.85">
      <c r="B40" s="2" t="s">
        <v>279</v>
      </c>
      <c r="C40" s="53">
        <v>1</v>
      </c>
      <c r="D40" s="53">
        <v>1</v>
      </c>
      <c r="E40" s="52">
        <v>0</v>
      </c>
      <c r="F40" s="52">
        <v>2</v>
      </c>
      <c r="G40" s="2">
        <v>2</v>
      </c>
      <c r="H40" s="9">
        <v>0.08</v>
      </c>
    </row>
    <row r="41" spans="2:8" x14ac:dyDescent="0.85">
      <c r="B41" s="2" t="s">
        <v>280</v>
      </c>
      <c r="C41" s="53">
        <v>1</v>
      </c>
      <c r="D41" s="53">
        <v>1</v>
      </c>
      <c r="E41" s="52">
        <v>0</v>
      </c>
      <c r="F41" s="52">
        <v>2</v>
      </c>
      <c r="G41" s="2">
        <v>2</v>
      </c>
      <c r="H41" s="9">
        <v>0.08</v>
      </c>
    </row>
    <row r="42" spans="2:8" x14ac:dyDescent="0.85">
      <c r="B42" s="2" t="s">
        <v>281</v>
      </c>
      <c r="C42" s="53">
        <v>5</v>
      </c>
      <c r="D42" s="53">
        <v>2</v>
      </c>
      <c r="E42" s="52"/>
      <c r="F42" s="52"/>
      <c r="G42" s="2">
        <v>7</v>
      </c>
      <c r="H42" s="9">
        <v>0.28999999999999998</v>
      </c>
    </row>
    <row r="43" spans="2:8" x14ac:dyDescent="0.85">
      <c r="B43" s="2" t="s">
        <v>9</v>
      </c>
      <c r="C43" s="53">
        <v>18</v>
      </c>
      <c r="D43" s="53">
        <v>6</v>
      </c>
      <c r="E43" s="52">
        <v>2</v>
      </c>
      <c r="F43" s="52">
        <v>15</v>
      </c>
      <c r="G43" s="2">
        <v>24</v>
      </c>
      <c r="H43" s="2"/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3A89-5DC7-4459-BB0E-DE9B4545338F}">
  <dimension ref="B2:M27"/>
  <sheetViews>
    <sheetView topLeftCell="A17" workbookViewId="0">
      <selection activeCell="H5" sqref="H5"/>
    </sheetView>
  </sheetViews>
  <sheetFormatPr defaultColWidth="9.1796875" defaultRowHeight="20" x14ac:dyDescent="0.85"/>
  <cols>
    <col min="1" max="1" width="9.1796875" style="1"/>
    <col min="2" max="2" width="25.36328125" style="1" customWidth="1"/>
    <col min="3" max="3" width="10" style="1" customWidth="1"/>
    <col min="4" max="4" width="10.81640625" style="1" customWidth="1"/>
    <col min="5" max="5" width="14.1796875" style="1" customWidth="1"/>
    <col min="6" max="6" width="13.1796875" style="1" customWidth="1"/>
    <col min="7" max="7" width="14" style="1" customWidth="1"/>
    <col min="8" max="8" width="16.7265625" style="1" customWidth="1"/>
    <col min="9" max="9" width="12.26953125" style="1" customWidth="1"/>
    <col min="10" max="10" width="14.81640625" style="1" customWidth="1"/>
    <col min="11" max="11" width="14.453125" style="1" customWidth="1"/>
    <col min="12" max="12" width="11.453125" style="1" customWidth="1"/>
    <col min="13" max="13" width="11.81640625" style="1" customWidth="1"/>
    <col min="14" max="16384" width="9.1796875" style="1"/>
  </cols>
  <sheetData>
    <row r="2" spans="2:13" x14ac:dyDescent="0.85">
      <c r="B2" s="1" t="s">
        <v>415</v>
      </c>
    </row>
    <row r="4" spans="2:13" x14ac:dyDescent="0.85">
      <c r="B4" s="2"/>
      <c r="C4" s="2" t="s">
        <v>7</v>
      </c>
      <c r="D4" s="2" t="s">
        <v>8</v>
      </c>
      <c r="E4" s="2" t="s">
        <v>15</v>
      </c>
      <c r="F4" s="2" t="s">
        <v>88</v>
      </c>
      <c r="G4" s="55"/>
      <c r="H4" s="55"/>
      <c r="I4" s="55"/>
      <c r="J4" s="55"/>
      <c r="K4" s="55"/>
      <c r="L4" s="55"/>
      <c r="M4" s="55"/>
    </row>
    <row r="5" spans="2:13" x14ac:dyDescent="0.85">
      <c r="B5" s="2" t="s">
        <v>282</v>
      </c>
      <c r="C5" s="2">
        <v>3</v>
      </c>
      <c r="D5" s="2">
        <v>0</v>
      </c>
      <c r="E5" s="2">
        <v>3</v>
      </c>
      <c r="F5" s="9">
        <v>0.25</v>
      </c>
    </row>
    <row r="6" spans="2:13" x14ac:dyDescent="0.85">
      <c r="B6" s="2" t="s">
        <v>283</v>
      </c>
      <c r="C6" s="2">
        <v>5</v>
      </c>
      <c r="D6" s="2">
        <v>2</v>
      </c>
      <c r="E6" s="2">
        <v>7</v>
      </c>
      <c r="F6" s="9">
        <v>0.57999999999999996</v>
      </c>
    </row>
    <row r="7" spans="2:13" x14ac:dyDescent="0.85">
      <c r="B7" s="2" t="s">
        <v>284</v>
      </c>
      <c r="C7" s="2">
        <v>1</v>
      </c>
      <c r="D7" s="2">
        <v>1</v>
      </c>
      <c r="E7" s="2">
        <v>2</v>
      </c>
      <c r="F7" s="9">
        <v>0.17</v>
      </c>
    </row>
    <row r="8" spans="2:13" x14ac:dyDescent="0.85">
      <c r="B8" s="2" t="s">
        <v>9</v>
      </c>
      <c r="C8" s="2">
        <v>9</v>
      </c>
      <c r="D8" s="2">
        <v>3</v>
      </c>
      <c r="E8" s="2">
        <v>12</v>
      </c>
      <c r="F8" s="2"/>
    </row>
    <row r="11" spans="2:13" x14ac:dyDescent="0.85">
      <c r="B11" s="1" t="s">
        <v>414</v>
      </c>
    </row>
    <row r="13" spans="2:13" ht="100" x14ac:dyDescent="0.85">
      <c r="B13" s="2"/>
      <c r="C13" s="54" t="s">
        <v>285</v>
      </c>
      <c r="D13" s="54" t="s">
        <v>286</v>
      </c>
      <c r="E13" s="54" t="s">
        <v>287</v>
      </c>
      <c r="F13" s="56" t="s">
        <v>288</v>
      </c>
      <c r="G13" s="56" t="s">
        <v>289</v>
      </c>
      <c r="H13" s="56" t="s">
        <v>290</v>
      </c>
      <c r="I13" s="56" t="s">
        <v>291</v>
      </c>
      <c r="J13" s="56" t="s">
        <v>292</v>
      </c>
      <c r="K13" s="56" t="s">
        <v>196</v>
      </c>
      <c r="L13" s="57" t="s">
        <v>109</v>
      </c>
      <c r="M13" s="57" t="s">
        <v>293</v>
      </c>
    </row>
    <row r="14" spans="2:13" x14ac:dyDescent="0.85">
      <c r="B14" s="2" t="s">
        <v>282</v>
      </c>
      <c r="C14" s="52">
        <v>3</v>
      </c>
      <c r="D14" s="52">
        <v>0</v>
      </c>
      <c r="E14" s="52">
        <v>0</v>
      </c>
      <c r="F14" s="53"/>
      <c r="G14" s="53"/>
      <c r="H14" s="53">
        <v>1</v>
      </c>
      <c r="I14" s="53">
        <v>1</v>
      </c>
      <c r="J14" s="53"/>
      <c r="K14" s="53">
        <v>1</v>
      </c>
      <c r="L14" s="58">
        <v>2</v>
      </c>
      <c r="M14" s="58">
        <v>0</v>
      </c>
    </row>
    <row r="15" spans="2:13" x14ac:dyDescent="0.85">
      <c r="B15" s="2" t="s">
        <v>283</v>
      </c>
      <c r="C15" s="52">
        <v>7</v>
      </c>
      <c r="D15" s="52">
        <v>0</v>
      </c>
      <c r="E15" s="52">
        <v>0</v>
      </c>
      <c r="F15" s="53">
        <v>1</v>
      </c>
      <c r="G15" s="53">
        <v>2</v>
      </c>
      <c r="H15" s="53"/>
      <c r="I15" s="53">
        <v>3</v>
      </c>
      <c r="J15" s="53">
        <v>1</v>
      </c>
      <c r="K15" s="53"/>
      <c r="L15" s="58">
        <v>4</v>
      </c>
      <c r="M15" s="58">
        <v>1</v>
      </c>
    </row>
    <row r="16" spans="2:13" x14ac:dyDescent="0.85">
      <c r="B16" s="2" t="s">
        <v>284</v>
      </c>
      <c r="C16" s="52">
        <v>0</v>
      </c>
      <c r="D16" s="52">
        <v>1</v>
      </c>
      <c r="E16" s="52">
        <v>1</v>
      </c>
      <c r="F16" s="53"/>
      <c r="G16" s="53">
        <v>1</v>
      </c>
      <c r="H16" s="53"/>
      <c r="I16" s="53">
        <v>1</v>
      </c>
      <c r="J16" s="53"/>
      <c r="K16" s="53"/>
      <c r="L16" s="58">
        <v>1</v>
      </c>
      <c r="M16" s="58">
        <v>0</v>
      </c>
    </row>
    <row r="17" spans="2:13" x14ac:dyDescent="0.85">
      <c r="B17" s="2" t="s">
        <v>9</v>
      </c>
      <c r="C17" s="52">
        <v>10</v>
      </c>
      <c r="D17" s="52">
        <v>1</v>
      </c>
      <c r="E17" s="52">
        <v>1</v>
      </c>
      <c r="F17" s="53">
        <v>1</v>
      </c>
      <c r="G17" s="53">
        <v>3</v>
      </c>
      <c r="H17" s="53">
        <v>1</v>
      </c>
      <c r="I17" s="53">
        <v>5</v>
      </c>
      <c r="J17" s="53">
        <v>1</v>
      </c>
      <c r="K17" s="53">
        <v>1</v>
      </c>
      <c r="L17" s="58">
        <v>7</v>
      </c>
      <c r="M17" s="58">
        <v>1</v>
      </c>
    </row>
    <row r="20" spans="2:13" x14ac:dyDescent="0.85">
      <c r="B20" s="1" t="s">
        <v>413</v>
      </c>
    </row>
    <row r="22" spans="2:13" x14ac:dyDescent="0.85">
      <c r="B22" s="2"/>
      <c r="C22" s="2" t="s">
        <v>7</v>
      </c>
      <c r="D22" s="2" t="s">
        <v>8</v>
      </c>
      <c r="E22" s="2" t="s">
        <v>15</v>
      </c>
      <c r="F22" s="2" t="s">
        <v>88</v>
      </c>
    </row>
    <row r="23" spans="2:13" x14ac:dyDescent="0.85">
      <c r="B23" s="2" t="s">
        <v>294</v>
      </c>
      <c r="C23" s="2">
        <v>2</v>
      </c>
      <c r="D23" s="2">
        <v>0</v>
      </c>
      <c r="E23" s="2">
        <v>2</v>
      </c>
      <c r="F23" s="9">
        <v>0.17</v>
      </c>
    </row>
    <row r="24" spans="2:13" x14ac:dyDescent="0.85">
      <c r="B24" s="2" t="s">
        <v>295</v>
      </c>
      <c r="C24" s="2">
        <v>3</v>
      </c>
      <c r="D24" s="2">
        <v>0</v>
      </c>
      <c r="E24" s="2">
        <v>3</v>
      </c>
      <c r="F24" s="9">
        <v>0.25</v>
      </c>
    </row>
    <row r="25" spans="2:13" x14ac:dyDescent="0.85">
      <c r="B25" s="2" t="s">
        <v>265</v>
      </c>
      <c r="C25" s="2">
        <v>3</v>
      </c>
      <c r="D25" s="2">
        <v>3</v>
      </c>
      <c r="E25" s="2">
        <v>6</v>
      </c>
      <c r="F25" s="9">
        <v>0.5</v>
      </c>
    </row>
    <row r="26" spans="2:13" x14ac:dyDescent="0.85">
      <c r="B26" s="2" t="s">
        <v>266</v>
      </c>
      <c r="C26" s="2">
        <v>1</v>
      </c>
      <c r="D26" s="2">
        <v>0</v>
      </c>
      <c r="E26" s="2">
        <v>1</v>
      </c>
      <c r="F26" s="9">
        <v>0.08</v>
      </c>
    </row>
    <row r="27" spans="2:13" x14ac:dyDescent="0.85">
      <c r="B27" s="2" t="s">
        <v>296</v>
      </c>
      <c r="C27" s="2">
        <v>9</v>
      </c>
      <c r="D27" s="2">
        <v>3</v>
      </c>
      <c r="E27" s="2">
        <v>12</v>
      </c>
      <c r="F27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C3A6-F57E-49AA-8A30-81915681B66B}">
  <dimension ref="B3:L72"/>
  <sheetViews>
    <sheetView topLeftCell="A17" zoomScale="99" zoomScaleNormal="99" workbookViewId="0">
      <selection activeCell="F67" sqref="F67"/>
    </sheetView>
  </sheetViews>
  <sheetFormatPr defaultColWidth="9.1796875" defaultRowHeight="20" x14ac:dyDescent="0.85"/>
  <cols>
    <col min="1" max="1" width="9.1796875" style="1"/>
    <col min="2" max="2" width="41.54296875" style="1" customWidth="1"/>
    <col min="3" max="4" width="13.81640625" style="1" customWidth="1"/>
    <col min="5" max="5" width="16.1796875" style="1" customWidth="1"/>
    <col min="6" max="6" width="16.26953125" style="1" customWidth="1"/>
    <col min="7" max="8" width="13.453125" style="1" customWidth="1"/>
    <col min="9" max="10" width="16.26953125" style="1" customWidth="1"/>
    <col min="11" max="11" width="10" style="1" customWidth="1"/>
    <col min="12" max="16384" width="9.1796875" style="1"/>
  </cols>
  <sheetData>
    <row r="3" spans="2:12" x14ac:dyDescent="0.85">
      <c r="B3" s="102" t="s">
        <v>416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2:12" x14ac:dyDescent="0.8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2" x14ac:dyDescent="0.85">
      <c r="B5" s="2"/>
      <c r="C5" s="59" t="s">
        <v>43</v>
      </c>
      <c r="D5" s="59" t="s">
        <v>44</v>
      </c>
      <c r="E5" s="59" t="s">
        <v>45</v>
      </c>
      <c r="F5" s="59" t="s">
        <v>46</v>
      </c>
      <c r="G5" s="53" t="s">
        <v>297</v>
      </c>
      <c r="H5" s="53" t="s">
        <v>298</v>
      </c>
      <c r="I5" s="53" t="s">
        <v>299</v>
      </c>
      <c r="J5" s="53" t="s">
        <v>300</v>
      </c>
      <c r="K5" s="2" t="s">
        <v>15</v>
      </c>
      <c r="L5" s="2" t="s">
        <v>88</v>
      </c>
    </row>
    <row r="6" spans="2:12" x14ac:dyDescent="0.85">
      <c r="B6" s="2" t="s">
        <v>301</v>
      </c>
      <c r="C6" s="59">
        <v>69</v>
      </c>
      <c r="D6" s="60">
        <f>C6/151</f>
        <v>0.45695364238410596</v>
      </c>
      <c r="E6" s="59">
        <v>83</v>
      </c>
      <c r="F6" s="60">
        <f>E6/147</f>
        <v>0.56462585034013602</v>
      </c>
      <c r="G6" s="53">
        <v>121</v>
      </c>
      <c r="H6" s="61">
        <f>G6/259</f>
        <v>0.46718146718146719</v>
      </c>
      <c r="I6" s="53">
        <v>33</v>
      </c>
      <c r="J6" s="61">
        <f>I6/39</f>
        <v>0.84615384615384615</v>
      </c>
      <c r="K6" s="2">
        <v>152</v>
      </c>
      <c r="L6" s="11">
        <f>K6/298</f>
        <v>0.51006711409395977</v>
      </c>
    </row>
    <row r="7" spans="2:12" x14ac:dyDescent="0.85">
      <c r="B7" s="2" t="s">
        <v>302</v>
      </c>
      <c r="C7" s="59">
        <v>56</v>
      </c>
      <c r="D7" s="60">
        <f>C7/151</f>
        <v>0.37086092715231789</v>
      </c>
      <c r="E7" s="59">
        <v>50</v>
      </c>
      <c r="F7" s="60">
        <f>E7/147</f>
        <v>0.3401360544217687</v>
      </c>
      <c r="G7" s="53">
        <v>100</v>
      </c>
      <c r="H7" s="61">
        <f>G7/259</f>
        <v>0.38610038610038611</v>
      </c>
      <c r="I7" s="53">
        <v>6</v>
      </c>
      <c r="J7" s="61">
        <f>I7/39</f>
        <v>0.15384615384615385</v>
      </c>
      <c r="K7" s="2">
        <v>106</v>
      </c>
      <c r="L7" s="11">
        <f>K7/298</f>
        <v>0.35570469798657717</v>
      </c>
    </row>
    <row r="8" spans="2:12" x14ac:dyDescent="0.85">
      <c r="B8" s="2" t="s">
        <v>303</v>
      </c>
      <c r="C8" s="59">
        <v>25</v>
      </c>
      <c r="D8" s="60">
        <f>C8/151</f>
        <v>0.16556291390728478</v>
      </c>
      <c r="E8" s="59">
        <v>14</v>
      </c>
      <c r="F8" s="60">
        <f>E8/147</f>
        <v>9.5238095238095233E-2</v>
      </c>
      <c r="G8" s="53">
        <v>38</v>
      </c>
      <c r="H8" s="61">
        <f>G8/259</f>
        <v>0.14671814671814673</v>
      </c>
      <c r="I8" s="53">
        <v>0</v>
      </c>
      <c r="J8" s="61">
        <v>0</v>
      </c>
      <c r="K8" s="2">
        <v>39</v>
      </c>
      <c r="L8" s="11">
        <f>K8/298</f>
        <v>0.13087248322147652</v>
      </c>
    </row>
    <row r="9" spans="2:12" x14ac:dyDescent="0.85">
      <c r="B9" s="2" t="s">
        <v>304</v>
      </c>
      <c r="C9" s="59">
        <v>1</v>
      </c>
      <c r="D9" s="60">
        <f>C9/151</f>
        <v>6.6225165562913907E-3</v>
      </c>
      <c r="E9" s="59">
        <v>0</v>
      </c>
      <c r="F9" s="60">
        <f>E9/147</f>
        <v>0</v>
      </c>
      <c r="G9" s="53">
        <v>0</v>
      </c>
      <c r="H9" s="61">
        <f>G9/259</f>
        <v>0</v>
      </c>
      <c r="I9" s="53">
        <v>0</v>
      </c>
      <c r="J9" s="61">
        <v>0</v>
      </c>
      <c r="K9" s="2">
        <v>1</v>
      </c>
      <c r="L9" s="11">
        <f>K9/298</f>
        <v>3.3557046979865771E-3</v>
      </c>
    </row>
    <row r="10" spans="2:12" x14ac:dyDescent="0.85">
      <c r="B10" s="2" t="s">
        <v>9</v>
      </c>
      <c r="C10" s="2">
        <v>151</v>
      </c>
      <c r="D10" s="2"/>
      <c r="E10" s="2">
        <v>147</v>
      </c>
      <c r="F10" s="2"/>
      <c r="G10" s="2">
        <v>259</v>
      </c>
      <c r="H10" s="2"/>
      <c r="I10" s="2">
        <v>39</v>
      </c>
      <c r="J10" s="2"/>
      <c r="K10" s="2">
        <v>298</v>
      </c>
      <c r="L10" s="25"/>
    </row>
    <row r="33" spans="2:12" x14ac:dyDescent="0.85">
      <c r="B33" s="1" t="s">
        <v>417</v>
      </c>
    </row>
    <row r="35" spans="2:12" x14ac:dyDescent="0.85">
      <c r="B35" s="2"/>
      <c r="C35" s="59" t="s">
        <v>43</v>
      </c>
      <c r="D35" s="59" t="s">
        <v>44</v>
      </c>
      <c r="E35" s="59" t="s">
        <v>45</v>
      </c>
      <c r="F35" s="59" t="s">
        <v>46</v>
      </c>
      <c r="G35" s="53" t="s">
        <v>297</v>
      </c>
      <c r="H35" s="53" t="s">
        <v>298</v>
      </c>
      <c r="I35" s="53" t="s">
        <v>299</v>
      </c>
      <c r="J35" s="53" t="s">
        <v>300</v>
      </c>
      <c r="K35" s="2" t="s">
        <v>15</v>
      </c>
      <c r="L35" s="2" t="s">
        <v>88</v>
      </c>
    </row>
    <row r="36" spans="2:12" x14ac:dyDescent="0.85">
      <c r="B36" s="2" t="s">
        <v>305</v>
      </c>
      <c r="C36" s="59">
        <v>64</v>
      </c>
      <c r="D36" s="60">
        <f>C36/82</f>
        <v>0.78048780487804881</v>
      </c>
      <c r="E36" s="59">
        <v>40</v>
      </c>
      <c r="F36" s="60">
        <f>E36/64</f>
        <v>0.625</v>
      </c>
      <c r="G36" s="53">
        <v>98</v>
      </c>
      <c r="H36" s="61">
        <f>G36/140</f>
        <v>0.7</v>
      </c>
      <c r="I36" s="53">
        <v>6</v>
      </c>
      <c r="J36" s="62">
        <v>1</v>
      </c>
      <c r="K36" s="2">
        <v>104</v>
      </c>
      <c r="L36" s="11">
        <f>K36/146</f>
        <v>0.71232876712328763</v>
      </c>
    </row>
    <row r="37" spans="2:12" x14ac:dyDescent="0.85">
      <c r="B37" s="2" t="s">
        <v>306</v>
      </c>
      <c r="C37" s="59">
        <v>3</v>
      </c>
      <c r="D37" s="60">
        <f>C37/82</f>
        <v>3.6585365853658534E-2</v>
      </c>
      <c r="E37" s="59">
        <v>3</v>
      </c>
      <c r="F37" s="60">
        <f>E37/64</f>
        <v>4.6875E-2</v>
      </c>
      <c r="G37" s="53">
        <v>6</v>
      </c>
      <c r="H37" s="61">
        <f>G37/140</f>
        <v>4.2857142857142858E-2</v>
      </c>
      <c r="I37" s="53">
        <v>0</v>
      </c>
      <c r="J37" s="62">
        <v>0</v>
      </c>
      <c r="K37" s="2">
        <v>6</v>
      </c>
      <c r="L37" s="11">
        <f>K37/146</f>
        <v>4.1095890410958902E-2</v>
      </c>
    </row>
    <row r="38" spans="2:12" x14ac:dyDescent="0.85">
      <c r="B38" s="2" t="s">
        <v>307</v>
      </c>
      <c r="C38" s="59">
        <v>15</v>
      </c>
      <c r="D38" s="60">
        <f>C38/82</f>
        <v>0.18292682926829268</v>
      </c>
      <c r="E38" s="59">
        <v>21</v>
      </c>
      <c r="F38" s="60">
        <f>E38/64</f>
        <v>0.328125</v>
      </c>
      <c r="G38" s="53">
        <v>36</v>
      </c>
      <c r="H38" s="61">
        <f>G38/140</f>
        <v>0.25714285714285712</v>
      </c>
      <c r="I38" s="53">
        <v>0</v>
      </c>
      <c r="J38" s="62">
        <v>0</v>
      </c>
      <c r="K38" s="2">
        <v>36</v>
      </c>
      <c r="L38" s="11">
        <f>K38/146</f>
        <v>0.24657534246575341</v>
      </c>
    </row>
    <row r="39" spans="2:12" x14ac:dyDescent="0.85">
      <c r="B39" s="2" t="s">
        <v>9</v>
      </c>
      <c r="C39" s="59">
        <v>82</v>
      </c>
      <c r="D39" s="59"/>
      <c r="E39" s="59">
        <v>64</v>
      </c>
      <c r="F39" s="59"/>
      <c r="G39" s="53">
        <v>140</v>
      </c>
      <c r="H39" s="53"/>
      <c r="I39" s="53">
        <v>6</v>
      </c>
      <c r="J39" s="53"/>
      <c r="K39" s="2">
        <v>146</v>
      </c>
      <c r="L39" s="2"/>
    </row>
    <row r="64" spans="2:2" x14ac:dyDescent="0.85">
      <c r="B64" s="1" t="s">
        <v>418</v>
      </c>
    </row>
    <row r="66" spans="2:4" x14ac:dyDescent="0.85">
      <c r="B66" s="2"/>
      <c r="C66" s="2" t="s">
        <v>87</v>
      </c>
      <c r="D66" s="2" t="s">
        <v>21</v>
      </c>
    </row>
    <row r="67" spans="2:4" x14ac:dyDescent="0.85">
      <c r="B67" s="2" t="s">
        <v>308</v>
      </c>
      <c r="C67" s="2">
        <v>79</v>
      </c>
      <c r="D67" s="11">
        <f>C67/140</f>
        <v>0.56428571428571428</v>
      </c>
    </row>
    <row r="68" spans="2:4" x14ac:dyDescent="0.85">
      <c r="B68" s="2" t="s">
        <v>309</v>
      </c>
      <c r="C68" s="2">
        <v>3</v>
      </c>
      <c r="D68" s="11">
        <f>C68/140</f>
        <v>2.1428571428571429E-2</v>
      </c>
    </row>
    <row r="69" spans="2:4" x14ac:dyDescent="0.85">
      <c r="B69" s="2" t="s">
        <v>310</v>
      </c>
      <c r="C69" s="2">
        <v>37</v>
      </c>
      <c r="D69" s="11">
        <f>C69/140</f>
        <v>0.26428571428571429</v>
      </c>
    </row>
    <row r="70" spans="2:4" x14ac:dyDescent="0.85">
      <c r="B70" s="2" t="s">
        <v>311</v>
      </c>
      <c r="C70" s="2">
        <v>18</v>
      </c>
      <c r="D70" s="11">
        <f>C70/140</f>
        <v>0.12857142857142856</v>
      </c>
    </row>
    <row r="71" spans="2:4" x14ac:dyDescent="0.85">
      <c r="B71" s="2" t="s">
        <v>259</v>
      </c>
      <c r="C71" s="2">
        <v>3</v>
      </c>
      <c r="D71" s="11">
        <f>C71/140</f>
        <v>2.1428571428571429E-2</v>
      </c>
    </row>
    <row r="72" spans="2:4" x14ac:dyDescent="0.85">
      <c r="B72" s="2" t="s">
        <v>9</v>
      </c>
      <c r="C72" s="2">
        <v>140</v>
      </c>
      <c r="D72" s="2"/>
    </row>
  </sheetData>
  <sortState xmlns:xlrd2="http://schemas.microsoft.com/office/spreadsheetml/2017/richdata2" ref="B6:L9">
    <sortCondition descending="1" ref="L5:L9"/>
  </sortState>
  <mergeCells count="1">
    <mergeCell ref="B3:L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39EF-355C-42AB-9F27-D10427AD1AE0}">
  <dimension ref="B2:H21"/>
  <sheetViews>
    <sheetView workbookViewId="0">
      <selection activeCell="F19" sqref="F19"/>
    </sheetView>
  </sheetViews>
  <sheetFormatPr defaultColWidth="9.1796875" defaultRowHeight="20" x14ac:dyDescent="0.85"/>
  <cols>
    <col min="1" max="1" width="9.1796875" style="1"/>
    <col min="2" max="2" width="42.81640625" style="1" customWidth="1"/>
    <col min="3" max="3" width="13.54296875" style="1" customWidth="1"/>
    <col min="4" max="4" width="13.453125" style="1" customWidth="1"/>
    <col min="5" max="6" width="16.453125" style="1" customWidth="1"/>
    <col min="7" max="7" width="16.1796875" style="1" customWidth="1"/>
    <col min="8" max="16384" width="9.1796875" style="1"/>
  </cols>
  <sheetData>
    <row r="2" spans="2:8" x14ac:dyDescent="0.85">
      <c r="B2" s="1" t="s">
        <v>419</v>
      </c>
    </row>
    <row r="4" spans="2:8" x14ac:dyDescent="0.85">
      <c r="B4" s="2"/>
      <c r="C4" s="2" t="s">
        <v>297</v>
      </c>
      <c r="D4" s="2" t="s">
        <v>298</v>
      </c>
      <c r="E4" s="2" t="s">
        <v>299</v>
      </c>
      <c r="F4" s="2" t="s">
        <v>300</v>
      </c>
      <c r="G4" s="2" t="s">
        <v>9</v>
      </c>
      <c r="H4" s="2" t="s">
        <v>9</v>
      </c>
    </row>
    <row r="5" spans="2:8" x14ac:dyDescent="0.85">
      <c r="B5" s="2" t="s">
        <v>194</v>
      </c>
      <c r="C5" s="2">
        <v>82</v>
      </c>
      <c r="D5" s="11">
        <f t="shared" ref="D5:D10" si="0">C5/140</f>
        <v>0.58571428571428574</v>
      </c>
      <c r="E5" s="63">
        <v>4</v>
      </c>
      <c r="F5" s="11">
        <f t="shared" ref="F5:F10" si="1">E5/6</f>
        <v>0.66666666666666663</v>
      </c>
      <c r="G5" s="2">
        <v>86</v>
      </c>
      <c r="H5" s="11">
        <f t="shared" ref="H5:H10" si="2">G5/146</f>
        <v>0.58904109589041098</v>
      </c>
    </row>
    <row r="6" spans="2:8" x14ac:dyDescent="0.85">
      <c r="B6" s="2" t="s">
        <v>312</v>
      </c>
      <c r="C6" s="2">
        <v>49</v>
      </c>
      <c r="D6" s="11">
        <f t="shared" si="0"/>
        <v>0.35</v>
      </c>
      <c r="E6" s="63">
        <v>1</v>
      </c>
      <c r="F6" s="11">
        <f t="shared" si="1"/>
        <v>0.16666666666666666</v>
      </c>
      <c r="G6" s="2">
        <v>50</v>
      </c>
      <c r="H6" s="11">
        <f t="shared" si="2"/>
        <v>0.34246575342465752</v>
      </c>
    </row>
    <row r="7" spans="2:8" x14ac:dyDescent="0.85">
      <c r="B7" s="2" t="s">
        <v>196</v>
      </c>
      <c r="C7" s="2">
        <v>15</v>
      </c>
      <c r="D7" s="11">
        <f t="shared" si="0"/>
        <v>0.10714285714285714</v>
      </c>
      <c r="E7" s="63">
        <v>2</v>
      </c>
      <c r="F7" s="11">
        <f t="shared" si="1"/>
        <v>0.33333333333333331</v>
      </c>
      <c r="G7" s="2">
        <v>17</v>
      </c>
      <c r="H7" s="11">
        <f t="shared" si="2"/>
        <v>0.11643835616438356</v>
      </c>
    </row>
    <row r="8" spans="2:8" x14ac:dyDescent="0.85">
      <c r="B8" s="2" t="s">
        <v>197</v>
      </c>
      <c r="C8" s="2">
        <v>10</v>
      </c>
      <c r="D8" s="11">
        <f t="shared" si="0"/>
        <v>7.1428571428571425E-2</v>
      </c>
      <c r="E8" s="63">
        <v>0</v>
      </c>
      <c r="F8" s="11">
        <f t="shared" si="1"/>
        <v>0</v>
      </c>
      <c r="G8" s="2">
        <v>10</v>
      </c>
      <c r="H8" s="11">
        <f t="shared" si="2"/>
        <v>6.8493150684931503E-2</v>
      </c>
    </row>
    <row r="9" spans="2:8" x14ac:dyDescent="0.85">
      <c r="B9" s="2" t="s">
        <v>198</v>
      </c>
      <c r="C9" s="2">
        <v>8</v>
      </c>
      <c r="D9" s="11">
        <f t="shared" si="0"/>
        <v>5.7142857142857141E-2</v>
      </c>
      <c r="E9" s="63">
        <v>0</v>
      </c>
      <c r="F9" s="11">
        <f t="shared" si="1"/>
        <v>0</v>
      </c>
      <c r="G9" s="2">
        <v>8</v>
      </c>
      <c r="H9" s="11">
        <f t="shared" si="2"/>
        <v>5.4794520547945202E-2</v>
      </c>
    </row>
    <row r="10" spans="2:8" x14ac:dyDescent="0.85">
      <c r="B10" s="2" t="s">
        <v>313</v>
      </c>
      <c r="C10" s="2">
        <v>2</v>
      </c>
      <c r="D10" s="11">
        <f t="shared" si="0"/>
        <v>1.4285714285714285E-2</v>
      </c>
      <c r="E10" s="63">
        <v>0</v>
      </c>
      <c r="F10" s="11">
        <f t="shared" si="1"/>
        <v>0</v>
      </c>
      <c r="G10" s="2">
        <v>2</v>
      </c>
      <c r="H10" s="11">
        <f t="shared" si="2"/>
        <v>1.3698630136986301E-2</v>
      </c>
    </row>
    <row r="11" spans="2:8" x14ac:dyDescent="0.85">
      <c r="B11" s="2" t="s">
        <v>9</v>
      </c>
      <c r="C11" s="2">
        <v>140</v>
      </c>
      <c r="D11" s="2"/>
      <c r="E11" s="2">
        <v>6</v>
      </c>
      <c r="F11" s="2"/>
      <c r="G11" s="2">
        <v>146</v>
      </c>
      <c r="H11" s="2"/>
    </row>
    <row r="14" spans="2:8" x14ac:dyDescent="0.85">
      <c r="B14" s="1" t="s">
        <v>420</v>
      </c>
    </row>
    <row r="16" spans="2:8" x14ac:dyDescent="0.85">
      <c r="B16" s="2"/>
      <c r="C16" s="2" t="s">
        <v>87</v>
      </c>
      <c r="D16" s="2" t="s">
        <v>21</v>
      </c>
    </row>
    <row r="17" spans="2:5" x14ac:dyDescent="0.85">
      <c r="B17" s="2" t="s">
        <v>314</v>
      </c>
      <c r="C17" s="2">
        <v>16</v>
      </c>
      <c r="D17" s="11">
        <f>C17/140</f>
        <v>0.11428571428571428</v>
      </c>
    </row>
    <row r="18" spans="2:5" x14ac:dyDescent="0.85">
      <c r="B18" s="2" t="s">
        <v>315</v>
      </c>
      <c r="C18" s="2">
        <v>38</v>
      </c>
      <c r="D18" s="11">
        <f>C18/140</f>
        <v>0.27142857142857141</v>
      </c>
    </row>
    <row r="19" spans="2:5" x14ac:dyDescent="0.85">
      <c r="B19" s="2" t="s">
        <v>316</v>
      </c>
      <c r="C19" s="2">
        <v>33</v>
      </c>
      <c r="D19" s="11">
        <f>C19/140</f>
        <v>0.23571428571428571</v>
      </c>
      <c r="E19" s="46"/>
    </row>
    <row r="20" spans="2:5" x14ac:dyDescent="0.85">
      <c r="B20" s="2" t="s">
        <v>317</v>
      </c>
      <c r="C20" s="2">
        <v>53</v>
      </c>
      <c r="D20" s="11">
        <f>C20/140</f>
        <v>0.37857142857142856</v>
      </c>
    </row>
    <row r="21" spans="2:5" x14ac:dyDescent="0.85">
      <c r="B21" s="2" t="s">
        <v>9</v>
      </c>
      <c r="C21" s="2">
        <v>140</v>
      </c>
      <c r="D21" s="9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5626-FBEE-411C-A7C4-AF28164B5101}">
  <sheetPr>
    <tabColor rgb="FF00B050"/>
  </sheetPr>
  <dimension ref="B2:H45"/>
  <sheetViews>
    <sheetView topLeftCell="A39" workbookViewId="0">
      <selection activeCell="K9" sqref="K9"/>
    </sheetView>
  </sheetViews>
  <sheetFormatPr defaultColWidth="9.1796875" defaultRowHeight="20" x14ac:dyDescent="0.85"/>
  <cols>
    <col min="1" max="1" width="9.1796875" style="1"/>
    <col min="2" max="2" width="27.90625" style="1" customWidth="1"/>
    <col min="3" max="3" width="11.1796875" style="1" customWidth="1"/>
    <col min="4" max="4" width="12" style="1" customWidth="1"/>
    <col min="5" max="5" width="15" style="1" customWidth="1"/>
    <col min="6" max="6" width="14.54296875" style="1" customWidth="1"/>
    <col min="7" max="16384" width="9.1796875" style="1"/>
  </cols>
  <sheetData>
    <row r="2" spans="2:8" x14ac:dyDescent="0.85"/>
    <row r="3" spans="2:8" x14ac:dyDescent="0.85">
      <c r="B3" s="101" t="s">
        <v>425</v>
      </c>
      <c r="C3" s="101"/>
      <c r="D3" s="101"/>
      <c r="E3" s="101"/>
      <c r="F3" s="101"/>
      <c r="G3" s="102"/>
    </row>
    <row r="4" spans="2:8" x14ac:dyDescent="0.85">
      <c r="B4" s="18"/>
      <c r="C4" s="18" t="s">
        <v>43</v>
      </c>
      <c r="D4" s="18" t="s">
        <v>44</v>
      </c>
      <c r="E4" s="18" t="s">
        <v>45</v>
      </c>
      <c r="F4" s="18" t="s">
        <v>46</v>
      </c>
      <c r="G4" s="64" t="s">
        <v>9</v>
      </c>
      <c r="H4" s="65" t="s">
        <v>9</v>
      </c>
    </row>
    <row r="5" spans="2:8" x14ac:dyDescent="0.85">
      <c r="B5" s="18" t="s">
        <v>250</v>
      </c>
      <c r="C5" s="19">
        <v>34</v>
      </c>
      <c r="D5" s="20">
        <v>0.22500000000000001</v>
      </c>
      <c r="E5" s="19">
        <v>31</v>
      </c>
      <c r="F5" s="20">
        <v>0.21</v>
      </c>
      <c r="G5" s="49">
        <f>C5+E5</f>
        <v>65</v>
      </c>
      <c r="H5" s="11">
        <f t="shared" ref="H5:H6" si="0">G5/298</f>
        <v>0.21812080536912751</v>
      </c>
    </row>
    <row r="6" spans="2:8" x14ac:dyDescent="0.85">
      <c r="B6" s="18" t="s">
        <v>251</v>
      </c>
      <c r="C6" s="19">
        <v>22</v>
      </c>
      <c r="D6" s="20">
        <v>0.15</v>
      </c>
      <c r="E6" s="19">
        <v>20</v>
      </c>
      <c r="F6" s="20">
        <v>0.14000000000000001</v>
      </c>
      <c r="G6" s="49">
        <f>C6+E6</f>
        <v>42</v>
      </c>
      <c r="H6" s="11">
        <f t="shared" si="0"/>
        <v>0.14093959731543623</v>
      </c>
    </row>
    <row r="7" spans="2:8" x14ac:dyDescent="0.85">
      <c r="B7" s="47" t="s">
        <v>9</v>
      </c>
      <c r="C7" s="2">
        <v>151</v>
      </c>
      <c r="D7" s="2"/>
      <c r="E7" s="2">
        <v>147</v>
      </c>
      <c r="F7" s="2"/>
      <c r="G7" s="2">
        <v>298</v>
      </c>
      <c r="H7" s="2"/>
    </row>
    <row r="10" spans="2:8" x14ac:dyDescent="0.85">
      <c r="B10" s="1" t="s">
        <v>424</v>
      </c>
    </row>
    <row r="12" spans="2:8" x14ac:dyDescent="0.85">
      <c r="B12" s="2"/>
      <c r="C12" s="2" t="s">
        <v>209</v>
      </c>
      <c r="D12" s="2" t="s">
        <v>20</v>
      </c>
      <c r="E12" s="2" t="s">
        <v>318</v>
      </c>
    </row>
    <row r="13" spans="2:8" x14ac:dyDescent="0.85">
      <c r="B13" s="65" t="s">
        <v>252</v>
      </c>
      <c r="C13" s="65">
        <v>28</v>
      </c>
      <c r="D13" s="65">
        <v>14</v>
      </c>
      <c r="E13" s="91">
        <v>0.67</v>
      </c>
    </row>
    <row r="14" spans="2:8" x14ac:dyDescent="0.85">
      <c r="B14" s="65" t="s">
        <v>253</v>
      </c>
      <c r="C14" s="65">
        <v>20</v>
      </c>
      <c r="D14" s="65">
        <v>22</v>
      </c>
      <c r="E14" s="91">
        <v>0.48</v>
      </c>
    </row>
    <row r="15" spans="2:8" x14ac:dyDescent="0.85">
      <c r="B15" s="2" t="s">
        <v>378</v>
      </c>
      <c r="C15" s="2">
        <v>18</v>
      </c>
      <c r="D15" s="2">
        <v>24</v>
      </c>
      <c r="E15" s="9">
        <v>0.43</v>
      </c>
    </row>
    <row r="16" spans="2:8" x14ac:dyDescent="0.85">
      <c r="B16" s="2" t="s">
        <v>379</v>
      </c>
      <c r="C16" s="2">
        <v>12</v>
      </c>
      <c r="D16" s="2">
        <v>30</v>
      </c>
      <c r="E16" s="9">
        <v>0.28999999999999998</v>
      </c>
    </row>
    <row r="17" spans="2:5" x14ac:dyDescent="0.85">
      <c r="B17" s="2" t="s">
        <v>380</v>
      </c>
      <c r="C17" s="2">
        <v>12</v>
      </c>
      <c r="D17" s="2">
        <v>30</v>
      </c>
      <c r="E17" s="9">
        <v>0.28999999999999998</v>
      </c>
    </row>
    <row r="18" spans="2:5" x14ac:dyDescent="0.85">
      <c r="B18" s="65" t="s">
        <v>254</v>
      </c>
      <c r="C18" s="65">
        <v>1</v>
      </c>
      <c r="D18" s="65">
        <v>21</v>
      </c>
      <c r="E18" s="65"/>
    </row>
    <row r="19" spans="2:5" x14ac:dyDescent="0.85">
      <c r="B19" s="2" t="s">
        <v>9</v>
      </c>
      <c r="C19" s="2"/>
      <c r="D19" s="2"/>
      <c r="E19" s="2">
        <v>42</v>
      </c>
    </row>
    <row r="22" spans="2:5" x14ac:dyDescent="0.85">
      <c r="B22" s="1" t="s">
        <v>423</v>
      </c>
    </row>
    <row r="24" spans="2:5" x14ac:dyDescent="0.85">
      <c r="B24" s="2"/>
      <c r="C24" s="2" t="s">
        <v>7</v>
      </c>
      <c r="D24" s="2" t="s">
        <v>8</v>
      </c>
      <c r="E24" s="2" t="s">
        <v>9</v>
      </c>
    </row>
    <row r="25" spans="2:5" x14ac:dyDescent="0.85">
      <c r="B25" s="2" t="s">
        <v>255</v>
      </c>
      <c r="C25" s="2">
        <v>14</v>
      </c>
      <c r="D25" s="2">
        <v>19</v>
      </c>
      <c r="E25" s="2">
        <v>33</v>
      </c>
    </row>
    <row r="26" spans="2:5" x14ac:dyDescent="0.85">
      <c r="B26" s="2" t="s">
        <v>256</v>
      </c>
      <c r="C26" s="2">
        <v>5</v>
      </c>
      <c r="D26" s="2">
        <v>0</v>
      </c>
      <c r="E26" s="2">
        <v>5</v>
      </c>
    </row>
    <row r="27" spans="2:5" x14ac:dyDescent="0.85">
      <c r="B27" s="2" t="s">
        <v>259</v>
      </c>
      <c r="C27" s="2">
        <v>3</v>
      </c>
      <c r="D27" s="2">
        <v>1</v>
      </c>
      <c r="E27" s="2">
        <v>4</v>
      </c>
    </row>
    <row r="28" spans="2:5" x14ac:dyDescent="0.85">
      <c r="B28" s="2" t="s">
        <v>94</v>
      </c>
      <c r="C28" s="2">
        <v>1.3</v>
      </c>
      <c r="D28" s="2">
        <v>1</v>
      </c>
      <c r="E28" s="2">
        <v>1.1000000000000001</v>
      </c>
    </row>
    <row r="29" spans="2:5" x14ac:dyDescent="0.85">
      <c r="B29" s="2" t="s">
        <v>93</v>
      </c>
      <c r="C29" s="2">
        <v>1</v>
      </c>
      <c r="D29" s="2">
        <v>1</v>
      </c>
      <c r="E29" s="2">
        <v>1</v>
      </c>
    </row>
    <row r="32" spans="2:5" x14ac:dyDescent="0.85">
      <c r="B32" s="1" t="s">
        <v>422</v>
      </c>
    </row>
    <row r="34" spans="2:8" x14ac:dyDescent="0.85">
      <c r="B34" s="2" t="s">
        <v>260</v>
      </c>
      <c r="C34" s="2">
        <v>2</v>
      </c>
    </row>
    <row r="35" spans="2:8" x14ac:dyDescent="0.85">
      <c r="B35" s="2" t="s">
        <v>319</v>
      </c>
      <c r="C35" s="2">
        <v>5</v>
      </c>
    </row>
    <row r="36" spans="2:8" x14ac:dyDescent="0.85">
      <c r="B36" s="2" t="s">
        <v>70</v>
      </c>
      <c r="C36" s="2">
        <v>16</v>
      </c>
    </row>
    <row r="37" spans="2:8" x14ac:dyDescent="0.85">
      <c r="B37" s="2" t="s">
        <v>9</v>
      </c>
      <c r="C37" s="2">
        <v>23</v>
      </c>
    </row>
    <row r="40" spans="2:8" x14ac:dyDescent="0.85">
      <c r="B40" s="1" t="s">
        <v>421</v>
      </c>
    </row>
    <row r="42" spans="2:8" x14ac:dyDescent="0.85">
      <c r="B42" s="2"/>
      <c r="C42" s="2" t="s">
        <v>43</v>
      </c>
      <c r="D42" s="2" t="s">
        <v>44</v>
      </c>
      <c r="E42" s="2" t="s">
        <v>45</v>
      </c>
      <c r="F42" s="2" t="s">
        <v>320</v>
      </c>
      <c r="G42" s="2" t="s">
        <v>15</v>
      </c>
      <c r="H42" s="2" t="s">
        <v>88</v>
      </c>
    </row>
    <row r="43" spans="2:8" x14ac:dyDescent="0.85">
      <c r="B43" s="2" t="s">
        <v>321</v>
      </c>
      <c r="C43" s="2">
        <v>4</v>
      </c>
      <c r="D43" s="11">
        <f>C43/22</f>
        <v>0.18181818181818182</v>
      </c>
      <c r="E43" s="2">
        <v>11</v>
      </c>
      <c r="F43" s="11">
        <f>E43/20</f>
        <v>0.55000000000000004</v>
      </c>
      <c r="G43" s="2">
        <v>15</v>
      </c>
      <c r="H43" s="11">
        <f>G43/42</f>
        <v>0.35714285714285715</v>
      </c>
    </row>
    <row r="44" spans="2:8" x14ac:dyDescent="0.85">
      <c r="B44" s="2" t="s">
        <v>322</v>
      </c>
      <c r="C44" s="2">
        <v>18</v>
      </c>
      <c r="D44" s="11">
        <f>C44/22</f>
        <v>0.81818181818181823</v>
      </c>
      <c r="E44" s="2">
        <v>9</v>
      </c>
      <c r="F44" s="11">
        <f>E44/20</f>
        <v>0.45</v>
      </c>
      <c r="G44" s="2">
        <v>27</v>
      </c>
      <c r="H44" s="11">
        <f>G44/42</f>
        <v>0.6428571428571429</v>
      </c>
    </row>
    <row r="45" spans="2:8" x14ac:dyDescent="0.85">
      <c r="B45" s="2" t="s">
        <v>9</v>
      </c>
      <c r="C45" s="2">
        <v>22</v>
      </c>
      <c r="D45" s="2"/>
      <c r="E45" s="2">
        <v>20</v>
      </c>
      <c r="F45" s="2"/>
      <c r="G45" s="2">
        <v>42</v>
      </c>
      <c r="H45" s="2"/>
    </row>
  </sheetData>
  <mergeCells count="1">
    <mergeCell ref="B3:G3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D80D-EC1E-4198-BF78-D9335EFEF071}">
  <dimension ref="B2:H18"/>
  <sheetViews>
    <sheetView topLeftCell="A9" workbookViewId="0">
      <selection activeCell="D7" sqref="D7"/>
    </sheetView>
  </sheetViews>
  <sheetFormatPr defaultColWidth="9.1796875" defaultRowHeight="20" x14ac:dyDescent="0.85"/>
  <cols>
    <col min="1" max="1" width="9.1796875" style="1"/>
    <col min="2" max="2" width="27.1796875" style="1" customWidth="1"/>
    <col min="3" max="3" width="12" style="1" customWidth="1"/>
    <col min="4" max="4" width="12.453125" style="1" customWidth="1"/>
    <col min="5" max="5" width="15.26953125" style="1" customWidth="1"/>
    <col min="6" max="6" width="14.81640625" style="1" customWidth="1"/>
    <col min="7" max="16384" width="9.1796875" style="1"/>
  </cols>
  <sheetData>
    <row r="2" spans="2:8" x14ac:dyDescent="0.85">
      <c r="B2" s="101" t="s">
        <v>427</v>
      </c>
      <c r="C2" s="101"/>
      <c r="D2" s="101"/>
      <c r="E2" s="101"/>
      <c r="F2" s="101"/>
      <c r="G2" s="101"/>
      <c r="H2" s="101"/>
    </row>
    <row r="3" spans="2:8" x14ac:dyDescent="0.85">
      <c r="B3" s="18"/>
      <c r="C3" s="18" t="s">
        <v>43</v>
      </c>
      <c r="D3" s="18" t="s">
        <v>44</v>
      </c>
      <c r="E3" s="18" t="s">
        <v>45</v>
      </c>
      <c r="F3" s="18" t="s">
        <v>46</v>
      </c>
      <c r="G3" s="18" t="s">
        <v>15</v>
      </c>
      <c r="H3" s="18" t="s">
        <v>88</v>
      </c>
    </row>
    <row r="4" spans="2:8" x14ac:dyDescent="0.85">
      <c r="B4" s="18" t="s">
        <v>209</v>
      </c>
      <c r="C4" s="19">
        <v>32</v>
      </c>
      <c r="D4" s="20">
        <f>C4/151</f>
        <v>0.2119205298013245</v>
      </c>
      <c r="E4" s="19">
        <v>12</v>
      </c>
      <c r="F4" s="20">
        <f>E4/147</f>
        <v>8.1632653061224483E-2</v>
      </c>
      <c r="G4" s="19">
        <v>44</v>
      </c>
      <c r="H4" s="20">
        <v>0.15</v>
      </c>
    </row>
    <row r="5" spans="2:8" x14ac:dyDescent="0.85">
      <c r="B5" s="18" t="s">
        <v>323</v>
      </c>
      <c r="C5" s="19">
        <v>21</v>
      </c>
      <c r="D5" s="20">
        <f>C5/151</f>
        <v>0.13907284768211919</v>
      </c>
      <c r="E5" s="19">
        <v>13</v>
      </c>
      <c r="F5" s="20">
        <f>E5/147</f>
        <v>8.8435374149659865E-2</v>
      </c>
      <c r="G5" s="19">
        <v>34</v>
      </c>
      <c r="H5" s="20">
        <v>0.11</v>
      </c>
    </row>
    <row r="6" spans="2:8" x14ac:dyDescent="0.85">
      <c r="B6" s="18" t="s">
        <v>20</v>
      </c>
      <c r="C6" s="19">
        <v>67</v>
      </c>
      <c r="D6" s="20">
        <f>C6/151</f>
        <v>0.44370860927152317</v>
      </c>
      <c r="E6" s="19">
        <v>68</v>
      </c>
      <c r="F6" s="20">
        <f>E6/147</f>
        <v>0.46258503401360546</v>
      </c>
      <c r="G6" s="19">
        <v>135</v>
      </c>
      <c r="H6" s="20">
        <v>0.45</v>
      </c>
    </row>
    <row r="7" spans="2:8" x14ac:dyDescent="0.85">
      <c r="B7" s="18" t="s">
        <v>454</v>
      </c>
      <c r="C7" s="19">
        <v>28</v>
      </c>
      <c r="D7" s="20">
        <f>C7/151</f>
        <v>0.18543046357615894</v>
      </c>
      <c r="E7" s="19">
        <v>49</v>
      </c>
      <c r="F7" s="20">
        <f>E7/147</f>
        <v>0.33333333333333331</v>
      </c>
      <c r="G7" s="19">
        <v>77</v>
      </c>
      <c r="H7" s="20">
        <v>0.26</v>
      </c>
    </row>
    <row r="8" spans="2:8" x14ac:dyDescent="0.85">
      <c r="B8" s="18" t="s">
        <v>324</v>
      </c>
      <c r="C8" s="19">
        <v>3</v>
      </c>
      <c r="D8" s="20">
        <f>C8/151</f>
        <v>1.9867549668874173E-2</v>
      </c>
      <c r="E8" s="19">
        <v>5</v>
      </c>
      <c r="F8" s="20">
        <f>E8/147</f>
        <v>3.4013605442176874E-2</v>
      </c>
      <c r="G8" s="19">
        <v>8</v>
      </c>
      <c r="H8" s="20">
        <v>0.01</v>
      </c>
    </row>
    <row r="9" spans="2:8" x14ac:dyDescent="0.85">
      <c r="B9" s="18" t="s">
        <v>9</v>
      </c>
      <c r="C9" s="19">
        <v>151</v>
      </c>
      <c r="D9" s="20"/>
      <c r="E9" s="19">
        <v>147</v>
      </c>
      <c r="F9" s="20"/>
      <c r="G9" s="19">
        <v>298</v>
      </c>
      <c r="H9" s="20"/>
    </row>
    <row r="12" spans="2:8" x14ac:dyDescent="0.85">
      <c r="B12" s="51" t="s">
        <v>426</v>
      </c>
    </row>
    <row r="14" spans="2:8" x14ac:dyDescent="0.85">
      <c r="B14" s="18"/>
      <c r="C14" s="18" t="s">
        <v>43</v>
      </c>
      <c r="D14" s="18" t="s">
        <v>44</v>
      </c>
      <c r="E14" s="18" t="s">
        <v>45</v>
      </c>
      <c r="F14" s="18" t="s">
        <v>46</v>
      </c>
      <c r="G14" s="18" t="s">
        <v>15</v>
      </c>
      <c r="H14" s="18" t="s">
        <v>88</v>
      </c>
    </row>
    <row r="15" spans="2:8" x14ac:dyDescent="0.85">
      <c r="B15" s="18" t="s">
        <v>209</v>
      </c>
      <c r="C15" s="19">
        <v>32</v>
      </c>
      <c r="D15" s="20">
        <f>C15/120</f>
        <v>0.26666666666666666</v>
      </c>
      <c r="E15" s="19">
        <v>12</v>
      </c>
      <c r="F15" s="20">
        <f>E15/93</f>
        <v>0.12903225806451613</v>
      </c>
      <c r="G15" s="19">
        <v>44</v>
      </c>
      <c r="H15" s="20">
        <f>G15/213</f>
        <v>0.20657276995305165</v>
      </c>
    </row>
    <row r="16" spans="2:8" x14ac:dyDescent="0.85">
      <c r="B16" s="18" t="s">
        <v>323</v>
      </c>
      <c r="C16" s="19">
        <v>21</v>
      </c>
      <c r="D16" s="20">
        <f>C16/120</f>
        <v>0.17499999999999999</v>
      </c>
      <c r="E16" s="19">
        <v>13</v>
      </c>
      <c r="F16" s="20">
        <f>E16/93</f>
        <v>0.13978494623655913</v>
      </c>
      <c r="G16" s="19">
        <v>34</v>
      </c>
      <c r="H16" s="20">
        <f>G16/213</f>
        <v>0.15962441314553991</v>
      </c>
    </row>
    <row r="17" spans="2:8" x14ac:dyDescent="0.85">
      <c r="B17" s="18" t="s">
        <v>20</v>
      </c>
      <c r="C17" s="19">
        <v>67</v>
      </c>
      <c r="D17" s="20">
        <f>C17/120</f>
        <v>0.55833333333333335</v>
      </c>
      <c r="E17" s="19">
        <v>68</v>
      </c>
      <c r="F17" s="20">
        <f>E17/93</f>
        <v>0.73118279569892475</v>
      </c>
      <c r="G17" s="19">
        <v>135</v>
      </c>
      <c r="H17" s="20">
        <f>G17/213</f>
        <v>0.63380281690140849</v>
      </c>
    </row>
    <row r="18" spans="2:8" x14ac:dyDescent="0.85">
      <c r="B18" s="18" t="s">
        <v>9</v>
      </c>
      <c r="C18" s="19">
        <v>120</v>
      </c>
      <c r="D18" s="2"/>
      <c r="E18" s="19">
        <v>93</v>
      </c>
      <c r="F18" s="2"/>
      <c r="G18" s="19">
        <v>213</v>
      </c>
      <c r="H18" s="2"/>
    </row>
  </sheetData>
  <sortState xmlns:xlrd2="http://schemas.microsoft.com/office/spreadsheetml/2017/richdata2" ref="B6:H9">
    <sortCondition descending="1" ref="H9"/>
  </sortState>
  <mergeCells count="1">
    <mergeCell ref="B2:H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DBC6-6154-47BC-8AEF-BEDE3021BAB5}">
  <dimension ref="B2:H44"/>
  <sheetViews>
    <sheetView topLeftCell="A37" zoomScale="93" workbookViewId="0">
      <selection activeCell="B11" sqref="B11"/>
    </sheetView>
  </sheetViews>
  <sheetFormatPr defaultColWidth="9.1796875" defaultRowHeight="20" x14ac:dyDescent="0.85"/>
  <cols>
    <col min="1" max="1" width="9.1796875" style="1"/>
    <col min="2" max="2" width="32.81640625" style="1" customWidth="1"/>
    <col min="3" max="3" width="12.54296875" style="1" customWidth="1"/>
    <col min="4" max="4" width="12.453125" style="1" customWidth="1"/>
    <col min="5" max="5" width="15.7265625" style="1" customWidth="1"/>
    <col min="6" max="6" width="15.54296875" style="1" customWidth="1"/>
    <col min="7" max="7" width="12.81640625" style="1" customWidth="1"/>
    <col min="8" max="8" width="12.54296875" style="1" customWidth="1"/>
    <col min="9" max="16384" width="9.1796875" style="1"/>
  </cols>
  <sheetData>
    <row r="2" spans="2:8" x14ac:dyDescent="0.85">
      <c r="B2" s="101" t="s">
        <v>431</v>
      </c>
      <c r="C2" s="101"/>
      <c r="D2" s="101"/>
      <c r="E2" s="101"/>
      <c r="F2" s="101"/>
      <c r="G2" s="101"/>
      <c r="H2" s="101"/>
    </row>
    <row r="3" spans="2:8" x14ac:dyDescent="0.85">
      <c r="B3" s="47"/>
      <c r="C3" s="18" t="s">
        <v>43</v>
      </c>
      <c r="D3" s="18" t="s">
        <v>44</v>
      </c>
      <c r="E3" s="18" t="s">
        <v>45</v>
      </c>
      <c r="F3" s="18" t="s">
        <v>46</v>
      </c>
      <c r="G3" s="18" t="s">
        <v>15</v>
      </c>
      <c r="H3" s="18" t="s">
        <v>88</v>
      </c>
    </row>
    <row r="4" spans="2:8" x14ac:dyDescent="0.85">
      <c r="B4" s="18">
        <v>0</v>
      </c>
      <c r="C4" s="19">
        <v>57</v>
      </c>
      <c r="D4" s="20">
        <f>C4/151</f>
        <v>0.37748344370860926</v>
      </c>
      <c r="E4" s="19">
        <v>82</v>
      </c>
      <c r="F4" s="20">
        <f>E4/147</f>
        <v>0.55782312925170063</v>
      </c>
      <c r="G4" s="19">
        <v>139</v>
      </c>
      <c r="H4" s="20">
        <f>G4/298</f>
        <v>0.46644295302013422</v>
      </c>
    </row>
    <row r="5" spans="2:8" x14ac:dyDescent="0.85">
      <c r="B5" s="18">
        <v>1</v>
      </c>
      <c r="C5" s="19">
        <v>40</v>
      </c>
      <c r="D5" s="20">
        <f>C5/151</f>
        <v>0.26490066225165565</v>
      </c>
      <c r="E5" s="19">
        <v>45</v>
      </c>
      <c r="F5" s="20">
        <f>E5/147</f>
        <v>0.30612244897959184</v>
      </c>
      <c r="G5" s="19">
        <v>85</v>
      </c>
      <c r="H5" s="20">
        <f>G5/298</f>
        <v>0.28523489932885904</v>
      </c>
    </row>
    <row r="6" spans="2:8" x14ac:dyDescent="0.85">
      <c r="B6" s="88" t="s">
        <v>325</v>
      </c>
      <c r="C6" s="19">
        <v>54</v>
      </c>
      <c r="D6" s="20">
        <f>C6/151</f>
        <v>0.35761589403973509</v>
      </c>
      <c r="E6" s="19">
        <v>20</v>
      </c>
      <c r="F6" s="20">
        <f>E6/147</f>
        <v>0.1360544217687075</v>
      </c>
      <c r="G6" s="19">
        <v>74</v>
      </c>
      <c r="H6" s="20">
        <f>G6/298</f>
        <v>0.24832214765100671</v>
      </c>
    </row>
    <row r="7" spans="2:8" x14ac:dyDescent="0.85">
      <c r="B7" s="88" t="s">
        <v>326</v>
      </c>
      <c r="C7" s="19">
        <v>1.6</v>
      </c>
      <c r="D7" s="20"/>
      <c r="E7" s="19">
        <v>0.7</v>
      </c>
      <c r="F7" s="20"/>
      <c r="G7" s="19">
        <v>1.1000000000000001</v>
      </c>
      <c r="H7" s="20"/>
    </row>
    <row r="8" spans="2:8" x14ac:dyDescent="0.85">
      <c r="B8" s="88" t="s">
        <v>327</v>
      </c>
      <c r="C8" s="19">
        <v>1</v>
      </c>
      <c r="D8" s="20"/>
      <c r="E8" s="19">
        <v>0</v>
      </c>
      <c r="F8" s="20"/>
      <c r="G8" s="19">
        <v>1</v>
      </c>
      <c r="H8" s="20"/>
    </row>
    <row r="9" spans="2:8" x14ac:dyDescent="0.85">
      <c r="B9" s="88" t="s">
        <v>328</v>
      </c>
      <c r="C9" s="89" t="s">
        <v>329</v>
      </c>
      <c r="D9" s="90"/>
      <c r="E9" s="89" t="s">
        <v>330</v>
      </c>
      <c r="F9" s="90"/>
      <c r="G9" s="89" t="s">
        <v>329</v>
      </c>
      <c r="H9" s="90"/>
    </row>
    <row r="13" spans="2:8" x14ac:dyDescent="0.85">
      <c r="B13" s="1" t="s">
        <v>430</v>
      </c>
    </row>
    <row r="15" spans="2:8" x14ac:dyDescent="0.85">
      <c r="B15" s="2"/>
      <c r="C15" s="2" t="s">
        <v>43</v>
      </c>
      <c r="D15" s="2" t="s">
        <v>44</v>
      </c>
      <c r="E15" s="2" t="s">
        <v>45</v>
      </c>
      <c r="F15" s="2" t="s">
        <v>46</v>
      </c>
      <c r="G15" s="2" t="s">
        <v>15</v>
      </c>
      <c r="H15" s="2" t="s">
        <v>88</v>
      </c>
    </row>
    <row r="16" spans="2:8" x14ac:dyDescent="0.85">
      <c r="B16" s="2" t="s">
        <v>285</v>
      </c>
      <c r="C16" s="2">
        <v>54</v>
      </c>
      <c r="D16" s="11">
        <f>C16/95</f>
        <v>0.56842105263157894</v>
      </c>
      <c r="E16" s="2">
        <v>39</v>
      </c>
      <c r="F16" s="11">
        <f>E16/64</f>
        <v>0.609375</v>
      </c>
      <c r="G16" s="2">
        <v>93</v>
      </c>
      <c r="H16" s="11">
        <f>G16/159</f>
        <v>0.58490566037735847</v>
      </c>
    </row>
    <row r="17" spans="2:8" x14ac:dyDescent="0.85">
      <c r="B17" s="2" t="s">
        <v>286</v>
      </c>
      <c r="C17" s="2">
        <v>14</v>
      </c>
      <c r="D17" s="11">
        <f>C17/95</f>
        <v>0.14736842105263157</v>
      </c>
      <c r="E17" s="2">
        <v>7</v>
      </c>
      <c r="F17" s="11">
        <f>E17/64</f>
        <v>0.109375</v>
      </c>
      <c r="G17" s="2">
        <v>21</v>
      </c>
      <c r="H17" s="11">
        <f>G17/159</f>
        <v>0.13207547169811321</v>
      </c>
    </row>
    <row r="18" spans="2:8" x14ac:dyDescent="0.85">
      <c r="B18" s="2" t="s">
        <v>331</v>
      </c>
      <c r="C18" s="2">
        <v>6</v>
      </c>
      <c r="D18" s="11">
        <f>C18/95</f>
        <v>6.3157894736842107E-2</v>
      </c>
      <c r="E18" s="2">
        <v>1</v>
      </c>
      <c r="F18" s="11">
        <f>E18/64</f>
        <v>1.5625E-2</v>
      </c>
      <c r="G18" s="2">
        <v>7</v>
      </c>
      <c r="H18" s="11">
        <f>G18/159</f>
        <v>4.40251572327044E-2</v>
      </c>
    </row>
    <row r="19" spans="2:8" x14ac:dyDescent="0.85">
      <c r="B19" s="2" t="s">
        <v>332</v>
      </c>
      <c r="C19" s="2">
        <v>3</v>
      </c>
      <c r="D19" s="11">
        <f>C19/95</f>
        <v>3.1578947368421054E-2</v>
      </c>
      <c r="E19" s="2">
        <v>2</v>
      </c>
      <c r="F19" s="11">
        <f>E19/64</f>
        <v>3.125E-2</v>
      </c>
      <c r="G19" s="2">
        <v>5</v>
      </c>
      <c r="H19" s="11">
        <f>G19/159</f>
        <v>3.1446540880503145E-2</v>
      </c>
    </row>
    <row r="20" spans="2:8" x14ac:dyDescent="0.85">
      <c r="B20" s="2" t="s">
        <v>333</v>
      </c>
      <c r="C20" s="2">
        <v>18</v>
      </c>
      <c r="D20" s="11">
        <f>C20/95</f>
        <v>0.18947368421052632</v>
      </c>
      <c r="E20" s="2">
        <v>15</v>
      </c>
      <c r="F20" s="11">
        <f>E20/64</f>
        <v>0.234375</v>
      </c>
      <c r="G20" s="2">
        <v>33</v>
      </c>
      <c r="H20" s="11">
        <f>G20/159</f>
        <v>0.20754716981132076</v>
      </c>
    </row>
    <row r="21" spans="2:8" x14ac:dyDescent="0.85">
      <c r="B21" s="2" t="s">
        <v>9</v>
      </c>
      <c r="C21" s="2">
        <v>95</v>
      </c>
      <c r="D21" s="2"/>
      <c r="E21" s="2">
        <v>64</v>
      </c>
      <c r="F21" s="2"/>
      <c r="G21" s="2">
        <v>159</v>
      </c>
      <c r="H21" s="2"/>
    </row>
    <row r="24" spans="2:8" x14ac:dyDescent="0.85">
      <c r="B24" s="1" t="s">
        <v>429</v>
      </c>
    </row>
    <row r="26" spans="2:8" x14ac:dyDescent="0.85">
      <c r="B26" s="2"/>
      <c r="C26" s="2" t="s">
        <v>43</v>
      </c>
      <c r="D26" s="2" t="s">
        <v>44</v>
      </c>
      <c r="E26" s="2" t="s">
        <v>45</v>
      </c>
      <c r="F26" s="2" t="s">
        <v>320</v>
      </c>
      <c r="G26" s="2" t="s">
        <v>15</v>
      </c>
      <c r="H26" s="2" t="s">
        <v>88</v>
      </c>
    </row>
    <row r="27" spans="2:8" x14ac:dyDescent="0.85">
      <c r="B27" s="2" t="s">
        <v>334</v>
      </c>
      <c r="C27" s="2">
        <v>16</v>
      </c>
      <c r="D27" s="11">
        <f t="shared" ref="D27:D34" si="0">C27/95</f>
        <v>0.16842105263157894</v>
      </c>
      <c r="E27" s="2">
        <v>20</v>
      </c>
      <c r="F27" s="11">
        <f t="shared" ref="F27:F34" si="1">E27/64</f>
        <v>0.3125</v>
      </c>
      <c r="G27" s="2">
        <v>36</v>
      </c>
      <c r="H27" s="11">
        <f t="shared" ref="H27:H34" si="2">G27/159</f>
        <v>0.22641509433962265</v>
      </c>
    </row>
    <row r="28" spans="2:8" x14ac:dyDescent="0.85">
      <c r="B28" s="2" t="s">
        <v>335</v>
      </c>
      <c r="C28" s="2">
        <v>13</v>
      </c>
      <c r="D28" s="11">
        <f t="shared" si="0"/>
        <v>0.1368421052631579</v>
      </c>
      <c r="E28" s="2">
        <v>6</v>
      </c>
      <c r="F28" s="11">
        <f t="shared" si="1"/>
        <v>9.375E-2</v>
      </c>
      <c r="G28" s="2">
        <v>19</v>
      </c>
      <c r="H28" s="11">
        <f t="shared" si="2"/>
        <v>0.11949685534591195</v>
      </c>
    </row>
    <row r="29" spans="2:8" x14ac:dyDescent="0.85">
      <c r="B29" s="2" t="s">
        <v>336</v>
      </c>
      <c r="C29" s="2">
        <v>13</v>
      </c>
      <c r="D29" s="11">
        <f t="shared" si="0"/>
        <v>0.1368421052631579</v>
      </c>
      <c r="E29" s="2">
        <v>12</v>
      </c>
      <c r="F29" s="11">
        <f t="shared" si="1"/>
        <v>0.1875</v>
      </c>
      <c r="G29" s="2">
        <v>25</v>
      </c>
      <c r="H29" s="11">
        <f t="shared" si="2"/>
        <v>0.15723270440251572</v>
      </c>
    </row>
    <row r="30" spans="2:8" x14ac:dyDescent="0.85">
      <c r="B30" s="2" t="s">
        <v>337</v>
      </c>
      <c r="C30" s="2">
        <v>11</v>
      </c>
      <c r="D30" s="11">
        <f t="shared" si="0"/>
        <v>0.11578947368421053</v>
      </c>
      <c r="E30" s="2">
        <v>5</v>
      </c>
      <c r="F30" s="11">
        <f t="shared" si="1"/>
        <v>7.8125E-2</v>
      </c>
      <c r="G30" s="2">
        <v>16</v>
      </c>
      <c r="H30" s="11">
        <f t="shared" si="2"/>
        <v>0.10062893081761007</v>
      </c>
    </row>
    <row r="31" spans="2:8" x14ac:dyDescent="0.85">
      <c r="B31" s="2" t="s">
        <v>338</v>
      </c>
      <c r="C31" s="2">
        <v>3</v>
      </c>
      <c r="D31" s="11">
        <f t="shared" si="0"/>
        <v>3.1578947368421054E-2</v>
      </c>
      <c r="E31" s="2">
        <v>5</v>
      </c>
      <c r="F31" s="11">
        <f t="shared" si="1"/>
        <v>7.8125E-2</v>
      </c>
      <c r="G31" s="2">
        <v>8</v>
      </c>
      <c r="H31" s="11">
        <f t="shared" si="2"/>
        <v>5.0314465408805034E-2</v>
      </c>
    </row>
    <row r="32" spans="2:8" x14ac:dyDescent="0.85">
      <c r="B32" s="2" t="s">
        <v>339</v>
      </c>
      <c r="C32" s="2">
        <v>15</v>
      </c>
      <c r="D32" s="11">
        <f t="shared" si="0"/>
        <v>0.15789473684210525</v>
      </c>
      <c r="E32" s="2">
        <v>1</v>
      </c>
      <c r="F32" s="11">
        <f t="shared" si="1"/>
        <v>1.5625E-2</v>
      </c>
      <c r="G32" s="2">
        <v>16</v>
      </c>
      <c r="H32" s="11">
        <f t="shared" si="2"/>
        <v>0.10062893081761007</v>
      </c>
    </row>
    <row r="33" spans="2:8" x14ac:dyDescent="0.85">
      <c r="B33" s="2" t="s">
        <v>196</v>
      </c>
      <c r="C33" s="2">
        <v>15</v>
      </c>
      <c r="D33" s="11">
        <f t="shared" si="0"/>
        <v>0.15789473684210525</v>
      </c>
      <c r="E33" s="2">
        <v>3</v>
      </c>
      <c r="F33" s="11">
        <f t="shared" si="1"/>
        <v>4.6875E-2</v>
      </c>
      <c r="G33" s="2">
        <v>18</v>
      </c>
      <c r="H33" s="11">
        <f t="shared" si="2"/>
        <v>0.11320754716981132</v>
      </c>
    </row>
    <row r="34" spans="2:8" x14ac:dyDescent="0.85">
      <c r="B34" s="2" t="s">
        <v>340</v>
      </c>
      <c r="C34" s="2">
        <v>9</v>
      </c>
      <c r="D34" s="11">
        <f t="shared" si="0"/>
        <v>9.4736842105263161E-2</v>
      </c>
      <c r="E34" s="2">
        <v>10</v>
      </c>
      <c r="F34" s="11">
        <f t="shared" si="1"/>
        <v>0.15625</v>
      </c>
      <c r="G34" s="2">
        <v>19</v>
      </c>
      <c r="H34" s="11">
        <f t="shared" si="2"/>
        <v>0.11949685534591195</v>
      </c>
    </row>
    <row r="35" spans="2:8" x14ac:dyDescent="0.85">
      <c r="B35" s="2" t="s">
        <v>9</v>
      </c>
      <c r="C35" s="2">
        <v>95</v>
      </c>
      <c r="D35" s="2"/>
      <c r="E35" s="2">
        <v>64</v>
      </c>
      <c r="F35" s="2"/>
      <c r="G35" s="2">
        <v>159</v>
      </c>
      <c r="H35" s="2"/>
    </row>
    <row r="38" spans="2:8" x14ac:dyDescent="0.85">
      <c r="B38" s="1" t="s">
        <v>428</v>
      </c>
    </row>
    <row r="40" spans="2:8" x14ac:dyDescent="0.85">
      <c r="B40" s="2"/>
      <c r="C40" s="2" t="s">
        <v>43</v>
      </c>
      <c r="D40" s="2" t="s">
        <v>44</v>
      </c>
      <c r="E40" s="2" t="s">
        <v>45</v>
      </c>
      <c r="F40" s="2" t="s">
        <v>46</v>
      </c>
      <c r="G40" s="2" t="s">
        <v>15</v>
      </c>
      <c r="H40" s="2" t="s">
        <v>88</v>
      </c>
    </row>
    <row r="41" spans="2:8" x14ac:dyDescent="0.85">
      <c r="B41" s="2" t="s">
        <v>341</v>
      </c>
      <c r="C41" s="2">
        <v>34</v>
      </c>
      <c r="D41" s="11">
        <f>C41/95</f>
        <v>0.35789473684210527</v>
      </c>
      <c r="E41" s="2">
        <v>33</v>
      </c>
      <c r="F41" s="11">
        <f>E41/64</f>
        <v>0.515625</v>
      </c>
      <c r="G41" s="2">
        <v>67</v>
      </c>
      <c r="H41" s="11">
        <f>G41/159</f>
        <v>0.42138364779874216</v>
      </c>
    </row>
    <row r="42" spans="2:8" x14ac:dyDescent="0.85">
      <c r="B42" s="2" t="s">
        <v>342</v>
      </c>
      <c r="C42" s="2">
        <v>50</v>
      </c>
      <c r="D42" s="11">
        <f>C42/95</f>
        <v>0.52631578947368418</v>
      </c>
      <c r="E42" s="2">
        <v>25</v>
      </c>
      <c r="F42" s="11">
        <f>E42/64</f>
        <v>0.390625</v>
      </c>
      <c r="G42" s="2">
        <v>75</v>
      </c>
      <c r="H42" s="11">
        <f>G42/159</f>
        <v>0.47169811320754718</v>
      </c>
    </row>
    <row r="43" spans="2:8" x14ac:dyDescent="0.85">
      <c r="B43" s="2" t="s">
        <v>70</v>
      </c>
      <c r="C43" s="2">
        <v>11</v>
      </c>
      <c r="D43" s="11">
        <f>C43/95</f>
        <v>0.11578947368421053</v>
      </c>
      <c r="E43" s="2">
        <v>6</v>
      </c>
      <c r="F43" s="11">
        <f>E43/64</f>
        <v>9.375E-2</v>
      </c>
      <c r="G43" s="2">
        <v>17</v>
      </c>
      <c r="H43" s="11">
        <f>G43/159</f>
        <v>0.1069182389937107</v>
      </c>
    </row>
    <row r="44" spans="2:8" x14ac:dyDescent="0.85">
      <c r="B44" s="2" t="s">
        <v>9</v>
      </c>
      <c r="C44" s="2">
        <v>95</v>
      </c>
      <c r="D44" s="2"/>
      <c r="E44" s="2">
        <v>64</v>
      </c>
      <c r="F44" s="2"/>
      <c r="G44" s="2">
        <v>159</v>
      </c>
      <c r="H44" s="2"/>
    </row>
  </sheetData>
  <mergeCells count="1">
    <mergeCell ref="B2:H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41A5-DD9A-4089-A9E5-4315DA6A25F2}">
  <sheetPr>
    <tabColor rgb="FF00B050"/>
  </sheetPr>
  <dimension ref="B1:L80"/>
  <sheetViews>
    <sheetView topLeftCell="A35" zoomScale="93" workbookViewId="0">
      <selection activeCell="F6" sqref="F6"/>
    </sheetView>
  </sheetViews>
  <sheetFormatPr defaultColWidth="9.1796875" defaultRowHeight="20" x14ac:dyDescent="0.85"/>
  <cols>
    <col min="1" max="1" width="9.1796875" style="1"/>
    <col min="2" max="2" width="39.453125" style="1" customWidth="1"/>
    <col min="3" max="3" width="13" style="1" customWidth="1"/>
    <col min="4" max="4" width="12.453125" style="1" customWidth="1"/>
    <col min="5" max="5" width="14.81640625" style="1" customWidth="1"/>
    <col min="6" max="6" width="14.453125" style="1" customWidth="1"/>
    <col min="7" max="7" width="11.7265625" style="1" customWidth="1"/>
    <col min="8" max="8" width="11.81640625" style="1" customWidth="1"/>
    <col min="9" max="9" width="11.1796875" style="1" customWidth="1"/>
    <col min="10" max="10" width="11.453125" style="1" customWidth="1"/>
    <col min="11" max="16384" width="9.1796875" style="1"/>
  </cols>
  <sheetData>
    <row r="1" spans="2:8" x14ac:dyDescent="0.85"/>
    <row r="2" spans="2:8" x14ac:dyDescent="0.85">
      <c r="B2" s="101" t="s">
        <v>438</v>
      </c>
      <c r="C2" s="101"/>
      <c r="D2" s="101"/>
    </row>
    <row r="3" spans="2:8" x14ac:dyDescent="0.85">
      <c r="B3" s="47"/>
      <c r="C3" s="18" t="s">
        <v>343</v>
      </c>
      <c r="D3" s="18" t="s">
        <v>21</v>
      </c>
    </row>
    <row r="4" spans="2:8" x14ac:dyDescent="0.85">
      <c r="B4" s="47" t="s">
        <v>344</v>
      </c>
      <c r="C4" s="19">
        <v>171</v>
      </c>
      <c r="D4" s="20">
        <f>C4/298</f>
        <v>0.5738255033557047</v>
      </c>
    </row>
    <row r="5" spans="2:8" x14ac:dyDescent="0.85">
      <c r="B5" s="47" t="s">
        <v>345</v>
      </c>
      <c r="C5" s="19">
        <v>200</v>
      </c>
      <c r="D5" s="20">
        <f>C5/298</f>
        <v>0.67114093959731547</v>
      </c>
    </row>
    <row r="6" spans="2:8" x14ac:dyDescent="0.85">
      <c r="B6" s="18" t="s">
        <v>346</v>
      </c>
      <c r="C6" s="19">
        <v>38</v>
      </c>
      <c r="D6" s="20">
        <f>C6/298</f>
        <v>0.12751677852348994</v>
      </c>
    </row>
    <row r="7" spans="2:8" x14ac:dyDescent="0.85">
      <c r="B7" s="47" t="s">
        <v>347</v>
      </c>
      <c r="C7" s="19">
        <v>27</v>
      </c>
      <c r="D7" s="20">
        <f>C7/298</f>
        <v>9.0604026845637578E-2</v>
      </c>
    </row>
    <row r="8" spans="2:8" x14ac:dyDescent="0.85">
      <c r="B8" s="47" t="s">
        <v>9</v>
      </c>
      <c r="C8" s="19">
        <v>298</v>
      </c>
      <c r="D8" s="20"/>
    </row>
    <row r="11" spans="2:8" x14ac:dyDescent="0.85">
      <c r="B11" s="1" t="s">
        <v>437</v>
      </c>
    </row>
    <row r="13" spans="2:8" x14ac:dyDescent="0.85">
      <c r="B13" s="2"/>
      <c r="C13" s="2" t="s">
        <v>43</v>
      </c>
      <c r="D13" s="2" t="s">
        <v>44</v>
      </c>
      <c r="E13" s="2" t="s">
        <v>45</v>
      </c>
      <c r="F13" s="2" t="s">
        <v>46</v>
      </c>
      <c r="G13" s="2" t="s">
        <v>15</v>
      </c>
      <c r="H13" s="2" t="s">
        <v>88</v>
      </c>
    </row>
    <row r="14" spans="2:8" x14ac:dyDescent="0.85">
      <c r="B14" s="2" t="s">
        <v>285</v>
      </c>
      <c r="C14" s="2">
        <v>34</v>
      </c>
      <c r="D14" s="11">
        <f>C14/121</f>
        <v>0.28099173553719009</v>
      </c>
      <c r="E14" s="2">
        <v>43</v>
      </c>
      <c r="F14" s="11">
        <f>E14/114</f>
        <v>0.37719298245614036</v>
      </c>
      <c r="G14" s="2">
        <v>77</v>
      </c>
      <c r="H14" s="11">
        <f>G14/235</f>
        <v>0.32765957446808508</v>
      </c>
    </row>
    <row r="15" spans="2:8" x14ac:dyDescent="0.85">
      <c r="B15" s="2" t="s">
        <v>286</v>
      </c>
      <c r="C15" s="2">
        <v>7</v>
      </c>
      <c r="D15" s="11">
        <f>C15/121</f>
        <v>5.7851239669421489E-2</v>
      </c>
      <c r="E15" s="2">
        <v>6</v>
      </c>
      <c r="F15" s="11">
        <f>E15/114</f>
        <v>5.2631578947368418E-2</v>
      </c>
      <c r="G15" s="2">
        <v>13</v>
      </c>
      <c r="H15" s="11">
        <f>G15/235</f>
        <v>5.5319148936170209E-2</v>
      </c>
    </row>
    <row r="16" spans="2:8" x14ac:dyDescent="0.85">
      <c r="B16" s="2" t="s">
        <v>331</v>
      </c>
      <c r="C16" s="2">
        <v>42</v>
      </c>
      <c r="D16" s="11">
        <f>C16/121</f>
        <v>0.34710743801652894</v>
      </c>
      <c r="E16" s="2">
        <v>36</v>
      </c>
      <c r="F16" s="11">
        <f>E16/114</f>
        <v>0.31578947368421051</v>
      </c>
      <c r="G16" s="2">
        <v>78</v>
      </c>
      <c r="H16" s="11">
        <f>G16/235</f>
        <v>0.33191489361702126</v>
      </c>
    </row>
    <row r="17" spans="2:8" x14ac:dyDescent="0.85">
      <c r="B17" s="2" t="s">
        <v>332</v>
      </c>
      <c r="C17" s="2">
        <v>1</v>
      </c>
      <c r="D17" s="11">
        <f>C17/121</f>
        <v>8.2644628099173556E-3</v>
      </c>
      <c r="E17" s="2">
        <v>2</v>
      </c>
      <c r="F17" s="11">
        <f>E17/114</f>
        <v>1.7543859649122806E-2</v>
      </c>
      <c r="G17" s="2">
        <v>3</v>
      </c>
      <c r="H17" s="11">
        <f>G17/235</f>
        <v>1.276595744680851E-2</v>
      </c>
    </row>
    <row r="18" spans="2:8" x14ac:dyDescent="0.85">
      <c r="B18" s="2" t="s">
        <v>348</v>
      </c>
      <c r="C18" s="2">
        <v>37</v>
      </c>
      <c r="D18" s="11">
        <f>C18/121</f>
        <v>0.30578512396694213</v>
      </c>
      <c r="E18" s="2">
        <v>27</v>
      </c>
      <c r="F18" s="11">
        <f>E18/114</f>
        <v>0.23684210526315788</v>
      </c>
      <c r="G18" s="2">
        <v>64</v>
      </c>
      <c r="H18" s="11">
        <f>G18/235</f>
        <v>0.2723404255319149</v>
      </c>
    </row>
    <row r="19" spans="2:8" x14ac:dyDescent="0.85">
      <c r="B19" s="2" t="s">
        <v>9</v>
      </c>
      <c r="C19" s="2">
        <v>121</v>
      </c>
      <c r="D19" s="2"/>
      <c r="E19" s="2">
        <v>114</v>
      </c>
      <c r="F19" s="2"/>
      <c r="G19" s="2">
        <v>235</v>
      </c>
      <c r="H19" s="2"/>
    </row>
    <row r="22" spans="2:8" x14ac:dyDescent="0.85">
      <c r="B22" s="1" t="s">
        <v>436</v>
      </c>
    </row>
    <row r="24" spans="2:8" x14ac:dyDescent="0.85">
      <c r="B24" s="2"/>
      <c r="C24" s="2" t="s">
        <v>43</v>
      </c>
      <c r="D24" s="2" t="s">
        <v>44</v>
      </c>
      <c r="E24" s="2" t="s">
        <v>45</v>
      </c>
      <c r="F24" s="2" t="s">
        <v>46</v>
      </c>
      <c r="G24" s="2" t="s">
        <v>15</v>
      </c>
      <c r="H24" s="2" t="s">
        <v>88</v>
      </c>
    </row>
    <row r="25" spans="2:8" x14ac:dyDescent="0.85">
      <c r="B25" s="2" t="s">
        <v>334</v>
      </c>
      <c r="C25" s="2">
        <v>50</v>
      </c>
      <c r="D25" s="11">
        <f t="shared" ref="D25:D32" si="0">C25/119</f>
        <v>0.42016806722689076</v>
      </c>
      <c r="E25" s="2">
        <v>50</v>
      </c>
      <c r="F25" s="11">
        <f t="shared" ref="F25:F32" si="1">E25/107</f>
        <v>0.46728971962616822</v>
      </c>
      <c r="G25" s="2">
        <v>100</v>
      </c>
      <c r="H25" s="11">
        <f t="shared" ref="H25:H32" si="2">G25/226</f>
        <v>0.44247787610619471</v>
      </c>
    </row>
    <row r="26" spans="2:8" x14ac:dyDescent="0.85">
      <c r="B26" s="2" t="s">
        <v>335</v>
      </c>
      <c r="C26" s="2">
        <v>7</v>
      </c>
      <c r="D26" s="11">
        <f t="shared" si="0"/>
        <v>5.8823529411764705E-2</v>
      </c>
      <c r="E26" s="2">
        <v>11</v>
      </c>
      <c r="F26" s="11">
        <f t="shared" si="1"/>
        <v>0.10280373831775701</v>
      </c>
      <c r="G26" s="2">
        <v>18</v>
      </c>
      <c r="H26" s="11">
        <f t="shared" si="2"/>
        <v>7.9646017699115043E-2</v>
      </c>
    </row>
    <row r="27" spans="2:8" x14ac:dyDescent="0.85">
      <c r="B27" s="2" t="s">
        <v>336</v>
      </c>
      <c r="C27" s="2">
        <v>7</v>
      </c>
      <c r="D27" s="11">
        <f t="shared" si="0"/>
        <v>5.8823529411764705E-2</v>
      </c>
      <c r="E27" s="2">
        <v>2</v>
      </c>
      <c r="F27" s="11">
        <f t="shared" si="1"/>
        <v>1.8691588785046728E-2</v>
      </c>
      <c r="G27" s="2">
        <v>9</v>
      </c>
      <c r="H27" s="11">
        <f t="shared" si="2"/>
        <v>3.9823008849557522E-2</v>
      </c>
    </row>
    <row r="28" spans="2:8" x14ac:dyDescent="0.85">
      <c r="B28" s="2" t="s">
        <v>337</v>
      </c>
      <c r="C28" s="2">
        <v>7</v>
      </c>
      <c r="D28" s="11">
        <f t="shared" si="0"/>
        <v>5.8823529411764705E-2</v>
      </c>
      <c r="E28" s="2">
        <v>4</v>
      </c>
      <c r="F28" s="11">
        <f t="shared" si="1"/>
        <v>3.7383177570093455E-2</v>
      </c>
      <c r="G28" s="2">
        <v>11</v>
      </c>
      <c r="H28" s="11">
        <f t="shared" si="2"/>
        <v>4.8672566371681415E-2</v>
      </c>
    </row>
    <row r="29" spans="2:8" x14ac:dyDescent="0.85">
      <c r="B29" s="2" t="s">
        <v>338</v>
      </c>
      <c r="C29" s="2">
        <v>21</v>
      </c>
      <c r="D29" s="11">
        <f t="shared" si="0"/>
        <v>0.17647058823529413</v>
      </c>
      <c r="E29" s="2">
        <v>16</v>
      </c>
      <c r="F29" s="11">
        <f t="shared" si="1"/>
        <v>0.14953271028037382</v>
      </c>
      <c r="G29" s="2">
        <v>37</v>
      </c>
      <c r="H29" s="11">
        <f t="shared" si="2"/>
        <v>0.16371681415929204</v>
      </c>
    </row>
    <row r="30" spans="2:8" x14ac:dyDescent="0.85">
      <c r="B30" s="2" t="s">
        <v>339</v>
      </c>
      <c r="C30" s="2">
        <v>10</v>
      </c>
      <c r="D30" s="11">
        <f t="shared" si="0"/>
        <v>8.4033613445378158E-2</v>
      </c>
      <c r="E30" s="2">
        <v>6</v>
      </c>
      <c r="F30" s="11">
        <f t="shared" si="1"/>
        <v>5.6074766355140186E-2</v>
      </c>
      <c r="G30" s="2">
        <v>16</v>
      </c>
      <c r="H30" s="11">
        <f t="shared" si="2"/>
        <v>7.0796460176991149E-2</v>
      </c>
    </row>
    <row r="31" spans="2:8" x14ac:dyDescent="0.85">
      <c r="B31" s="2" t="s">
        <v>196</v>
      </c>
      <c r="C31" s="2">
        <v>6</v>
      </c>
      <c r="D31" s="11">
        <f t="shared" si="0"/>
        <v>5.0420168067226892E-2</v>
      </c>
      <c r="E31" s="2">
        <v>3</v>
      </c>
      <c r="F31" s="11">
        <f t="shared" si="1"/>
        <v>2.8037383177570093E-2</v>
      </c>
      <c r="G31" s="2">
        <v>9</v>
      </c>
      <c r="H31" s="11">
        <f t="shared" si="2"/>
        <v>3.9823008849557522E-2</v>
      </c>
    </row>
    <row r="32" spans="2:8" x14ac:dyDescent="0.85">
      <c r="B32" s="2" t="s">
        <v>340</v>
      </c>
      <c r="C32" s="2">
        <v>11</v>
      </c>
      <c r="D32" s="11">
        <f t="shared" si="0"/>
        <v>9.2436974789915971E-2</v>
      </c>
      <c r="E32" s="2">
        <v>15</v>
      </c>
      <c r="F32" s="11">
        <f t="shared" si="1"/>
        <v>0.14018691588785046</v>
      </c>
      <c r="G32" s="2">
        <v>26</v>
      </c>
      <c r="H32" s="11">
        <f t="shared" si="2"/>
        <v>0.11504424778761062</v>
      </c>
    </row>
    <row r="33" spans="2:12" x14ac:dyDescent="0.85">
      <c r="B33" s="2" t="s">
        <v>9</v>
      </c>
      <c r="C33" s="2">
        <v>119</v>
      </c>
      <c r="D33" s="2"/>
      <c r="E33" s="2">
        <v>107</v>
      </c>
      <c r="F33" s="2"/>
      <c r="G33" s="2">
        <v>226</v>
      </c>
      <c r="H33" s="2"/>
    </row>
    <row r="37" spans="2:12" x14ac:dyDescent="0.85">
      <c r="B37" s="1" t="s">
        <v>435</v>
      </c>
    </row>
    <row r="39" spans="2:12" ht="40" x14ac:dyDescent="0.85">
      <c r="B39" s="2"/>
      <c r="C39" s="2" t="s">
        <v>297</v>
      </c>
      <c r="D39" s="2" t="s">
        <v>298</v>
      </c>
      <c r="E39" s="2" t="s">
        <v>349</v>
      </c>
      <c r="F39" s="2" t="s">
        <v>350</v>
      </c>
      <c r="G39" s="3" t="s">
        <v>351</v>
      </c>
      <c r="H39" s="3" t="s">
        <v>352</v>
      </c>
      <c r="I39" s="2" t="s">
        <v>353</v>
      </c>
      <c r="J39" s="2" t="s">
        <v>354</v>
      </c>
      <c r="K39" s="8" t="s">
        <v>15</v>
      </c>
      <c r="L39" s="2" t="s">
        <v>88</v>
      </c>
    </row>
    <row r="40" spans="2:12" x14ac:dyDescent="0.85">
      <c r="B40" s="2" t="s">
        <v>285</v>
      </c>
      <c r="C40" s="2">
        <v>71</v>
      </c>
      <c r="D40" s="11">
        <f>C40/210</f>
        <v>0.33809523809523812</v>
      </c>
      <c r="E40" s="2">
        <v>6</v>
      </c>
      <c r="F40" s="11">
        <f>E40/25</f>
        <v>0.24</v>
      </c>
      <c r="G40" s="2">
        <v>41</v>
      </c>
      <c r="H40" s="11">
        <f>G40/120</f>
        <v>0.34166666666666667</v>
      </c>
      <c r="I40" s="2">
        <v>32</v>
      </c>
      <c r="J40" s="11">
        <f>I40/77</f>
        <v>0.41558441558441561</v>
      </c>
      <c r="K40" s="8">
        <v>77</v>
      </c>
      <c r="L40" s="11">
        <f>K40/235</f>
        <v>0.32765957446808508</v>
      </c>
    </row>
    <row r="41" spans="2:12" x14ac:dyDescent="0.85">
      <c r="B41" s="2" t="s">
        <v>286</v>
      </c>
      <c r="C41" s="2">
        <v>11</v>
      </c>
      <c r="D41" s="11">
        <f>C41/210</f>
        <v>5.2380952380952382E-2</v>
      </c>
      <c r="E41" s="2">
        <v>2</v>
      </c>
      <c r="F41" s="11">
        <f>E41/25</f>
        <v>0.08</v>
      </c>
      <c r="G41" s="2">
        <v>6</v>
      </c>
      <c r="H41" s="11">
        <f>G41/120</f>
        <v>0.05</v>
      </c>
      <c r="I41" s="2">
        <v>2</v>
      </c>
      <c r="J41" s="11">
        <f>I41/77</f>
        <v>2.5974025974025976E-2</v>
      </c>
      <c r="K41" s="8">
        <v>13</v>
      </c>
      <c r="L41" s="11">
        <f>K41/235</f>
        <v>5.5319148936170209E-2</v>
      </c>
    </row>
    <row r="42" spans="2:12" x14ac:dyDescent="0.85">
      <c r="B42" s="2" t="s">
        <v>331</v>
      </c>
      <c r="C42" s="2">
        <v>70</v>
      </c>
      <c r="D42" s="11">
        <f>C42/210</f>
        <v>0.33333333333333331</v>
      </c>
      <c r="E42" s="2">
        <v>8</v>
      </c>
      <c r="F42" s="11">
        <f>E42/25</f>
        <v>0.32</v>
      </c>
      <c r="G42" s="2">
        <v>42</v>
      </c>
      <c r="H42" s="11">
        <f>G42/120</f>
        <v>0.35</v>
      </c>
      <c r="I42" s="2">
        <v>25</v>
      </c>
      <c r="J42" s="11">
        <f>I42/77</f>
        <v>0.32467532467532467</v>
      </c>
      <c r="K42" s="8">
        <v>78</v>
      </c>
      <c r="L42" s="11">
        <f>K42/235</f>
        <v>0.33191489361702126</v>
      </c>
    </row>
    <row r="43" spans="2:12" x14ac:dyDescent="0.85">
      <c r="B43" s="2" t="s">
        <v>332</v>
      </c>
      <c r="C43" s="2">
        <v>2</v>
      </c>
      <c r="D43" s="11">
        <f>C43/210</f>
        <v>9.5238095238095247E-3</v>
      </c>
      <c r="E43" s="2">
        <v>1</v>
      </c>
      <c r="F43" s="11">
        <f>E43/25</f>
        <v>0.04</v>
      </c>
      <c r="G43" s="2">
        <v>1</v>
      </c>
      <c r="H43" s="11">
        <f>G43/120</f>
        <v>8.3333333333333332E-3</v>
      </c>
      <c r="I43" s="2">
        <v>0</v>
      </c>
      <c r="J43" s="11">
        <v>0</v>
      </c>
      <c r="K43" s="8">
        <v>3</v>
      </c>
      <c r="L43" s="11">
        <f>K43/235</f>
        <v>1.276595744680851E-2</v>
      </c>
    </row>
    <row r="44" spans="2:12" x14ac:dyDescent="0.85">
      <c r="B44" s="2" t="s">
        <v>348</v>
      </c>
      <c r="C44" s="2">
        <v>56</v>
      </c>
      <c r="D44" s="11">
        <f>C44/210</f>
        <v>0.26666666666666666</v>
      </c>
      <c r="E44" s="2">
        <v>8</v>
      </c>
      <c r="F44" s="11">
        <f>E44/25</f>
        <v>0.32</v>
      </c>
      <c r="G44" s="2">
        <v>30</v>
      </c>
      <c r="H44" s="11">
        <f>G44/120</f>
        <v>0.25</v>
      </c>
      <c r="I44" s="2">
        <v>18</v>
      </c>
      <c r="J44" s="11">
        <f>I44/77</f>
        <v>0.23376623376623376</v>
      </c>
      <c r="K44" s="8">
        <v>64</v>
      </c>
      <c r="L44" s="11">
        <f>K44/235</f>
        <v>0.2723404255319149</v>
      </c>
    </row>
    <row r="45" spans="2:12" x14ac:dyDescent="0.85">
      <c r="B45" s="2" t="s">
        <v>9</v>
      </c>
      <c r="C45" s="2">
        <v>210</v>
      </c>
      <c r="D45" s="2"/>
      <c r="E45" s="2">
        <v>25</v>
      </c>
      <c r="F45" s="2"/>
      <c r="G45" s="2">
        <v>120</v>
      </c>
      <c r="H45" s="2"/>
      <c r="I45" s="2">
        <v>77</v>
      </c>
      <c r="J45" s="2"/>
      <c r="K45" s="8">
        <v>235</v>
      </c>
      <c r="L45" s="2"/>
    </row>
    <row r="48" spans="2:12" x14ac:dyDescent="0.85">
      <c r="B48" s="1" t="s">
        <v>434</v>
      </c>
    </row>
    <row r="50" spans="2:12" ht="40" x14ac:dyDescent="0.85">
      <c r="B50" s="2"/>
      <c r="C50" s="2" t="s">
        <v>297</v>
      </c>
      <c r="D50" s="2" t="s">
        <v>298</v>
      </c>
      <c r="E50" s="2" t="s">
        <v>349</v>
      </c>
      <c r="F50" s="2" t="s">
        <v>350</v>
      </c>
      <c r="G50" s="3" t="s">
        <v>351</v>
      </c>
      <c r="H50" s="3" t="s">
        <v>352</v>
      </c>
      <c r="I50" s="2" t="s">
        <v>353</v>
      </c>
      <c r="J50" s="2" t="s">
        <v>354</v>
      </c>
      <c r="K50" s="2" t="s">
        <v>15</v>
      </c>
      <c r="L50" s="2" t="s">
        <v>88</v>
      </c>
    </row>
    <row r="51" spans="2:12" x14ac:dyDescent="0.85">
      <c r="B51" s="2" t="s">
        <v>334</v>
      </c>
      <c r="C51" s="2">
        <v>86</v>
      </c>
      <c r="D51" s="11">
        <f t="shared" ref="D51:D58" si="3">C51/203</f>
        <v>0.42364532019704432</v>
      </c>
      <c r="E51" s="2">
        <v>14</v>
      </c>
      <c r="F51" s="11">
        <f>E51/23</f>
        <v>0.60869565217391308</v>
      </c>
      <c r="G51" s="2">
        <v>46</v>
      </c>
      <c r="H51" s="11">
        <f t="shared" ref="H51:H58" si="4">G51/117</f>
        <v>0.39316239316239315</v>
      </c>
      <c r="I51" s="2">
        <v>30</v>
      </c>
      <c r="J51" s="11">
        <f t="shared" ref="J51:J58" si="5">I51/74</f>
        <v>0.40540540540540543</v>
      </c>
      <c r="K51" s="2">
        <v>100</v>
      </c>
      <c r="L51" s="11">
        <f t="shared" ref="L51:L58" si="6">K51/226</f>
        <v>0.44247787610619471</v>
      </c>
    </row>
    <row r="52" spans="2:12" x14ac:dyDescent="0.85">
      <c r="B52" s="2" t="s">
        <v>335</v>
      </c>
      <c r="C52" s="2">
        <v>18</v>
      </c>
      <c r="D52" s="11">
        <f t="shared" si="3"/>
        <v>8.8669950738916259E-2</v>
      </c>
      <c r="E52" s="2">
        <v>0</v>
      </c>
      <c r="F52" s="11">
        <v>0</v>
      </c>
      <c r="G52" s="2">
        <v>13</v>
      </c>
      <c r="H52" s="11">
        <f t="shared" si="4"/>
        <v>0.1111111111111111</v>
      </c>
      <c r="I52" s="2">
        <v>2</v>
      </c>
      <c r="J52" s="11">
        <f t="shared" si="5"/>
        <v>2.7027027027027029E-2</v>
      </c>
      <c r="K52" s="2">
        <v>18</v>
      </c>
      <c r="L52" s="11">
        <f t="shared" si="6"/>
        <v>7.9646017699115043E-2</v>
      </c>
    </row>
    <row r="53" spans="2:12" x14ac:dyDescent="0.85">
      <c r="B53" s="2" t="s">
        <v>336</v>
      </c>
      <c r="C53" s="2">
        <v>8</v>
      </c>
      <c r="D53" s="11">
        <f t="shared" si="3"/>
        <v>3.9408866995073892E-2</v>
      </c>
      <c r="E53" s="2">
        <v>1</v>
      </c>
      <c r="F53" s="11">
        <f>E53/23</f>
        <v>4.3478260869565216E-2</v>
      </c>
      <c r="G53" s="2">
        <v>4</v>
      </c>
      <c r="H53" s="11">
        <f t="shared" si="4"/>
        <v>3.4188034188034191E-2</v>
      </c>
      <c r="I53" s="2">
        <v>2</v>
      </c>
      <c r="J53" s="11">
        <f t="shared" si="5"/>
        <v>2.7027027027027029E-2</v>
      </c>
      <c r="K53" s="2">
        <v>9</v>
      </c>
      <c r="L53" s="11">
        <f t="shared" si="6"/>
        <v>3.9823008849557522E-2</v>
      </c>
    </row>
    <row r="54" spans="2:12" x14ac:dyDescent="0.85">
      <c r="B54" s="2" t="s">
        <v>337</v>
      </c>
      <c r="C54" s="2">
        <v>11</v>
      </c>
      <c r="D54" s="11">
        <f t="shared" si="3"/>
        <v>5.4187192118226604E-2</v>
      </c>
      <c r="E54" s="2">
        <v>0</v>
      </c>
      <c r="F54" s="11">
        <v>0</v>
      </c>
      <c r="G54" s="2">
        <v>6</v>
      </c>
      <c r="H54" s="11">
        <f t="shared" si="4"/>
        <v>5.128205128205128E-2</v>
      </c>
      <c r="I54" s="2">
        <v>4</v>
      </c>
      <c r="J54" s="11">
        <f t="shared" si="5"/>
        <v>5.4054054054054057E-2</v>
      </c>
      <c r="K54" s="2">
        <v>11</v>
      </c>
      <c r="L54" s="11">
        <f t="shared" si="6"/>
        <v>4.8672566371681415E-2</v>
      </c>
    </row>
    <row r="55" spans="2:12" x14ac:dyDescent="0.85">
      <c r="B55" s="2" t="s">
        <v>338</v>
      </c>
      <c r="C55" s="2">
        <v>33</v>
      </c>
      <c r="D55" s="11">
        <f t="shared" si="3"/>
        <v>0.1625615763546798</v>
      </c>
      <c r="E55" s="2">
        <v>4</v>
      </c>
      <c r="F55" s="11">
        <f>E55/23</f>
        <v>0.17391304347826086</v>
      </c>
      <c r="G55" s="2">
        <v>21</v>
      </c>
      <c r="H55" s="11">
        <f t="shared" si="4"/>
        <v>0.17948717948717949</v>
      </c>
      <c r="I55" s="2">
        <v>14</v>
      </c>
      <c r="J55" s="11">
        <f t="shared" si="5"/>
        <v>0.1891891891891892</v>
      </c>
      <c r="K55" s="2">
        <v>37</v>
      </c>
      <c r="L55" s="11">
        <f t="shared" si="6"/>
        <v>0.16371681415929204</v>
      </c>
    </row>
    <row r="56" spans="2:12" x14ac:dyDescent="0.85">
      <c r="B56" s="2" t="s">
        <v>339</v>
      </c>
      <c r="C56" s="2">
        <v>16</v>
      </c>
      <c r="D56" s="11">
        <f t="shared" si="3"/>
        <v>7.8817733990147784E-2</v>
      </c>
      <c r="E56" s="2">
        <v>0</v>
      </c>
      <c r="F56" s="11">
        <v>0</v>
      </c>
      <c r="G56" s="2">
        <v>12</v>
      </c>
      <c r="H56" s="11">
        <f t="shared" si="4"/>
        <v>0.10256410256410256</v>
      </c>
      <c r="I56" s="2">
        <v>6</v>
      </c>
      <c r="J56" s="11">
        <f t="shared" si="5"/>
        <v>8.1081081081081086E-2</v>
      </c>
      <c r="K56" s="2">
        <v>16</v>
      </c>
      <c r="L56" s="11">
        <f t="shared" si="6"/>
        <v>7.0796460176991149E-2</v>
      </c>
    </row>
    <row r="57" spans="2:12" x14ac:dyDescent="0.85">
      <c r="B57" s="2" t="s">
        <v>196</v>
      </c>
      <c r="C57" s="2">
        <v>8</v>
      </c>
      <c r="D57" s="11">
        <f t="shared" si="3"/>
        <v>3.9408866995073892E-2</v>
      </c>
      <c r="E57" s="2">
        <v>1</v>
      </c>
      <c r="F57" s="11">
        <v>0.04</v>
      </c>
      <c r="G57" s="2">
        <v>4</v>
      </c>
      <c r="H57" s="11">
        <f t="shared" si="4"/>
        <v>3.4188034188034191E-2</v>
      </c>
      <c r="I57" s="2">
        <v>4</v>
      </c>
      <c r="J57" s="11">
        <f t="shared" si="5"/>
        <v>5.4054054054054057E-2</v>
      </c>
      <c r="K57" s="2">
        <v>9</v>
      </c>
      <c r="L57" s="11">
        <f t="shared" si="6"/>
        <v>3.9823008849557522E-2</v>
      </c>
    </row>
    <row r="58" spans="2:12" x14ac:dyDescent="0.85">
      <c r="B58" s="2" t="s">
        <v>340</v>
      </c>
      <c r="C58" s="2">
        <v>23</v>
      </c>
      <c r="D58" s="11">
        <f t="shared" si="3"/>
        <v>0.11330049261083744</v>
      </c>
      <c r="E58" s="2">
        <v>3</v>
      </c>
      <c r="F58" s="11">
        <f>E58/23</f>
        <v>0.13043478260869565</v>
      </c>
      <c r="G58" s="2">
        <v>11</v>
      </c>
      <c r="H58" s="11">
        <f t="shared" si="4"/>
        <v>9.4017094017094016E-2</v>
      </c>
      <c r="I58" s="2">
        <v>12</v>
      </c>
      <c r="J58" s="11">
        <f t="shared" si="5"/>
        <v>0.16216216216216217</v>
      </c>
      <c r="K58" s="2">
        <v>26</v>
      </c>
      <c r="L58" s="11">
        <f t="shared" si="6"/>
        <v>0.11504424778761062</v>
      </c>
    </row>
    <row r="59" spans="2:12" x14ac:dyDescent="0.85">
      <c r="B59" s="2" t="s">
        <v>9</v>
      </c>
      <c r="C59" s="2">
        <v>203</v>
      </c>
      <c r="D59" s="2"/>
      <c r="E59" s="2">
        <v>23</v>
      </c>
      <c r="F59" s="2"/>
      <c r="G59" s="2">
        <v>117</v>
      </c>
      <c r="H59" s="2"/>
      <c r="I59" s="2">
        <v>74</v>
      </c>
      <c r="J59" s="2"/>
      <c r="K59" s="2">
        <v>226</v>
      </c>
      <c r="L59" s="2"/>
    </row>
    <row r="62" spans="2:12" x14ac:dyDescent="0.85">
      <c r="B62" s="1" t="s">
        <v>433</v>
      </c>
    </row>
    <row r="64" spans="2:12" x14ac:dyDescent="0.85">
      <c r="B64" s="2"/>
      <c r="C64" s="53" t="s">
        <v>43</v>
      </c>
      <c r="D64" s="53" t="s">
        <v>44</v>
      </c>
      <c r="E64" s="53" t="s">
        <v>45</v>
      </c>
      <c r="F64" s="53" t="s">
        <v>46</v>
      </c>
      <c r="G64" s="52" t="s">
        <v>297</v>
      </c>
      <c r="H64" s="52" t="s">
        <v>298</v>
      </c>
      <c r="I64" s="52" t="s">
        <v>355</v>
      </c>
      <c r="J64" s="52" t="s">
        <v>356</v>
      </c>
      <c r="K64" s="2" t="s">
        <v>15</v>
      </c>
      <c r="L64" s="2" t="s">
        <v>88</v>
      </c>
    </row>
    <row r="65" spans="2:12" x14ac:dyDescent="0.85">
      <c r="B65" s="2" t="s">
        <v>341</v>
      </c>
      <c r="C65" s="53">
        <v>73</v>
      </c>
      <c r="D65" s="61">
        <f>C65/151</f>
        <v>0.48344370860927155</v>
      </c>
      <c r="E65" s="53">
        <v>68</v>
      </c>
      <c r="F65" s="61">
        <f>E65/147</f>
        <v>0.46258503401360546</v>
      </c>
      <c r="G65" s="52">
        <v>122</v>
      </c>
      <c r="H65" s="70">
        <f>G65/259</f>
        <v>0.47104247104247104</v>
      </c>
      <c r="I65" s="52">
        <v>19</v>
      </c>
      <c r="J65" s="70">
        <f>I65/39</f>
        <v>0.48717948717948717</v>
      </c>
      <c r="K65" s="2">
        <v>141</v>
      </c>
      <c r="L65" s="11">
        <f>K65/298</f>
        <v>0.47315436241610737</v>
      </c>
    </row>
    <row r="66" spans="2:12" x14ac:dyDescent="0.85">
      <c r="B66" s="2" t="s">
        <v>342</v>
      </c>
      <c r="C66" s="53">
        <v>56</v>
      </c>
      <c r="D66" s="61">
        <f>C66/151</f>
        <v>0.37086092715231789</v>
      </c>
      <c r="E66" s="53">
        <v>67</v>
      </c>
      <c r="F66" s="61">
        <f>E66/147</f>
        <v>0.45578231292517007</v>
      </c>
      <c r="G66" s="52">
        <v>108</v>
      </c>
      <c r="H66" s="70">
        <f>G66/259</f>
        <v>0.41698841698841699</v>
      </c>
      <c r="I66" s="52">
        <v>15</v>
      </c>
      <c r="J66" s="70">
        <f>I66/39</f>
        <v>0.38461538461538464</v>
      </c>
      <c r="K66" s="2">
        <v>123</v>
      </c>
      <c r="L66" s="11">
        <f>K66/298</f>
        <v>0.41275167785234901</v>
      </c>
    </row>
    <row r="67" spans="2:12" x14ac:dyDescent="0.85">
      <c r="B67" s="2" t="s">
        <v>347</v>
      </c>
      <c r="C67" s="53">
        <v>22</v>
      </c>
      <c r="D67" s="61">
        <f>C67/151</f>
        <v>0.14569536423841059</v>
      </c>
      <c r="E67" s="53">
        <v>12</v>
      </c>
      <c r="F67" s="61">
        <f>E67/147</f>
        <v>8.1632653061224483E-2</v>
      </c>
      <c r="G67" s="52">
        <v>29</v>
      </c>
      <c r="H67" s="70">
        <f>G67/259</f>
        <v>0.11196911196911197</v>
      </c>
      <c r="I67" s="52">
        <v>5</v>
      </c>
      <c r="J67" s="70">
        <f>I67/39</f>
        <v>0.12820512820512819</v>
      </c>
      <c r="K67" s="2">
        <v>34</v>
      </c>
      <c r="L67" s="11">
        <f>K67/298</f>
        <v>0.11409395973154363</v>
      </c>
    </row>
    <row r="68" spans="2:12" x14ac:dyDescent="0.85">
      <c r="B68" s="2" t="s">
        <v>9</v>
      </c>
      <c r="C68" s="53">
        <v>151</v>
      </c>
      <c r="D68" s="53"/>
      <c r="E68" s="53">
        <v>147</v>
      </c>
      <c r="F68" s="53"/>
      <c r="G68" s="52">
        <v>259</v>
      </c>
      <c r="H68" s="52"/>
      <c r="I68" s="52">
        <v>39</v>
      </c>
      <c r="J68" s="52"/>
      <c r="K68" s="2">
        <v>298</v>
      </c>
      <c r="L68" s="2"/>
    </row>
    <row r="72" spans="2:12" x14ac:dyDescent="0.85">
      <c r="B72" s="1" t="s">
        <v>432</v>
      </c>
    </row>
    <row r="74" spans="2:12" ht="40" x14ac:dyDescent="0.85">
      <c r="B74" s="2" t="s">
        <v>357</v>
      </c>
      <c r="C74" s="3" t="s">
        <v>358</v>
      </c>
      <c r="D74" s="3" t="s">
        <v>359</v>
      </c>
      <c r="E74" s="3" t="s">
        <v>360</v>
      </c>
      <c r="F74" s="3" t="s">
        <v>361</v>
      </c>
      <c r="G74" s="3" t="s">
        <v>362</v>
      </c>
      <c r="H74" s="3" t="s">
        <v>363</v>
      </c>
      <c r="I74" s="3" t="s">
        <v>15</v>
      </c>
      <c r="J74" s="3" t="s">
        <v>88</v>
      </c>
    </row>
    <row r="75" spans="2:12" x14ac:dyDescent="0.85">
      <c r="B75" s="2" t="s">
        <v>364</v>
      </c>
      <c r="C75" s="2">
        <v>55</v>
      </c>
      <c r="D75" s="11">
        <f>C75/82</f>
        <v>0.67073170731707321</v>
      </c>
      <c r="E75" s="2">
        <v>7</v>
      </c>
      <c r="F75" s="11">
        <f>E75/46</f>
        <v>0.15217391304347827</v>
      </c>
      <c r="G75" s="2">
        <v>2</v>
      </c>
      <c r="H75" s="11">
        <f>G75/15</f>
        <v>0.13333333333333333</v>
      </c>
      <c r="I75" s="2">
        <v>64</v>
      </c>
      <c r="J75" s="11">
        <f>I75/143</f>
        <v>0.44755244755244755</v>
      </c>
    </row>
    <row r="76" spans="2:12" x14ac:dyDescent="0.85">
      <c r="B76" s="2" t="s">
        <v>338</v>
      </c>
      <c r="C76" s="2">
        <v>17</v>
      </c>
      <c r="D76" s="11">
        <f>C76/82</f>
        <v>0.2073170731707317</v>
      </c>
      <c r="E76" s="2">
        <v>19</v>
      </c>
      <c r="F76" s="11">
        <f>E76/46</f>
        <v>0.41304347826086957</v>
      </c>
      <c r="G76" s="2">
        <v>3</v>
      </c>
      <c r="H76" s="11">
        <f>G76/15</f>
        <v>0.2</v>
      </c>
      <c r="I76" s="2">
        <v>39</v>
      </c>
      <c r="J76" s="11">
        <f>I76/143</f>
        <v>0.27272727272727271</v>
      </c>
    </row>
    <row r="77" spans="2:12" x14ac:dyDescent="0.85">
      <c r="B77" s="2" t="s">
        <v>312</v>
      </c>
      <c r="C77" s="2">
        <v>1</v>
      </c>
      <c r="D77" s="11">
        <f>C77/82</f>
        <v>1.2195121951219513E-2</v>
      </c>
      <c r="E77" s="2">
        <v>15</v>
      </c>
      <c r="F77" s="11">
        <f>E77/46</f>
        <v>0.32608695652173914</v>
      </c>
      <c r="G77" s="2">
        <v>1</v>
      </c>
      <c r="H77" s="11">
        <f>G77/15</f>
        <v>6.6666666666666666E-2</v>
      </c>
      <c r="I77" s="2">
        <v>17</v>
      </c>
      <c r="J77" s="11">
        <f>I77/143</f>
        <v>0.11888111888111888</v>
      </c>
    </row>
    <row r="78" spans="2:12" x14ac:dyDescent="0.85">
      <c r="B78" s="2" t="s">
        <v>365</v>
      </c>
      <c r="C78" s="2">
        <v>2</v>
      </c>
      <c r="D78" s="11">
        <f>C78/82</f>
        <v>2.4390243902439025E-2</v>
      </c>
      <c r="E78" s="2">
        <v>3</v>
      </c>
      <c r="F78" s="11">
        <f>E78/46</f>
        <v>6.5217391304347824E-2</v>
      </c>
      <c r="G78" s="2">
        <v>9</v>
      </c>
      <c r="H78" s="11">
        <f>G78/15</f>
        <v>0.6</v>
      </c>
      <c r="I78" s="2">
        <v>14</v>
      </c>
      <c r="J78" s="11">
        <f>I78/143</f>
        <v>9.7902097902097904E-2</v>
      </c>
    </row>
    <row r="79" spans="2:12" x14ac:dyDescent="0.85">
      <c r="B79" s="2" t="s">
        <v>340</v>
      </c>
      <c r="C79" s="2">
        <v>7</v>
      </c>
      <c r="D79" s="11">
        <f>C79/82</f>
        <v>8.5365853658536592E-2</v>
      </c>
      <c r="E79" s="2">
        <v>2</v>
      </c>
      <c r="F79" s="11">
        <f>E79/46</f>
        <v>4.3478260869565216E-2</v>
      </c>
      <c r="G79" s="2">
        <v>0</v>
      </c>
      <c r="H79" s="11">
        <v>0</v>
      </c>
      <c r="I79" s="2">
        <v>9</v>
      </c>
      <c r="J79" s="11">
        <f>I79/143</f>
        <v>6.2937062937062943E-2</v>
      </c>
    </row>
    <row r="80" spans="2:12" x14ac:dyDescent="0.85">
      <c r="B80" s="2" t="s">
        <v>9</v>
      </c>
      <c r="C80" s="2">
        <v>82</v>
      </c>
      <c r="D80" s="2"/>
      <c r="E80" s="2">
        <v>46</v>
      </c>
      <c r="F80" s="2"/>
      <c r="G80" s="2">
        <v>15</v>
      </c>
      <c r="H80" s="2"/>
      <c r="I80" s="2">
        <v>143</v>
      </c>
      <c r="J80" s="2"/>
    </row>
  </sheetData>
  <sortState xmlns:xlrd2="http://schemas.microsoft.com/office/spreadsheetml/2017/richdata2" ref="B4:D7">
    <sortCondition descending="1" ref="D7"/>
  </sortState>
  <mergeCells count="1">
    <mergeCell ref="B2:D2"/>
  </mergeCells>
  <pageMargins left="0.7" right="0.7" top="0.75" bottom="0.75" header="0.3" footer="0.3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6E1D-D6F0-4B5B-AF15-64F6AABC2D1F}">
  <dimension ref="B2:G9"/>
  <sheetViews>
    <sheetView zoomScale="81" workbookViewId="0">
      <selection activeCell="C14" sqref="C14"/>
    </sheetView>
  </sheetViews>
  <sheetFormatPr defaultColWidth="9.1796875" defaultRowHeight="20" x14ac:dyDescent="0.85"/>
  <cols>
    <col min="1" max="1" width="9.1796875" style="1"/>
    <col min="2" max="2" width="32.26953125" style="1" customWidth="1"/>
    <col min="3" max="3" width="12.1796875" style="1" customWidth="1"/>
    <col min="4" max="4" width="9.1796875" style="1"/>
    <col min="5" max="5" width="10.7265625" style="1" customWidth="1"/>
    <col min="6" max="6" width="10.1796875" style="1" customWidth="1"/>
    <col min="7" max="7" width="10.453125" style="1" customWidth="1"/>
    <col min="8" max="16384" width="9.1796875" style="1"/>
  </cols>
  <sheetData>
    <row r="2" spans="2:7" x14ac:dyDescent="0.85">
      <c r="B2" s="101" t="s">
        <v>439</v>
      </c>
      <c r="C2" s="101"/>
      <c r="D2" s="101"/>
      <c r="E2" s="101"/>
      <c r="F2" s="101"/>
      <c r="G2" s="101"/>
    </row>
    <row r="3" spans="2:7" x14ac:dyDescent="0.85">
      <c r="B3" s="31"/>
      <c r="C3" s="107" t="s">
        <v>7</v>
      </c>
      <c r="D3" s="108"/>
      <c r="E3" s="107" t="s">
        <v>8</v>
      </c>
      <c r="F3" s="108"/>
      <c r="G3" s="31" t="s">
        <v>9</v>
      </c>
    </row>
    <row r="4" spans="2:7" x14ac:dyDescent="0.85">
      <c r="B4" s="47"/>
      <c r="C4" s="18" t="s">
        <v>366</v>
      </c>
      <c r="D4" s="18" t="s">
        <v>367</v>
      </c>
      <c r="E4" s="18" t="s">
        <v>366</v>
      </c>
      <c r="F4" s="18" t="s">
        <v>367</v>
      </c>
      <c r="G4" s="18"/>
    </row>
    <row r="5" spans="2:7" x14ac:dyDescent="0.85">
      <c r="B5" s="47" t="s">
        <v>368</v>
      </c>
      <c r="C5" s="2">
        <v>5</v>
      </c>
      <c r="D5" s="2">
        <v>1</v>
      </c>
      <c r="E5" s="2">
        <v>1</v>
      </c>
      <c r="F5" s="69">
        <v>1</v>
      </c>
      <c r="G5" s="2">
        <v>8</v>
      </c>
    </row>
    <row r="6" spans="2:7" x14ac:dyDescent="0.85">
      <c r="B6" s="47" t="s">
        <v>369</v>
      </c>
      <c r="C6" s="19"/>
      <c r="D6" s="19"/>
      <c r="E6" s="19">
        <v>1</v>
      </c>
      <c r="F6" s="49"/>
      <c r="G6" s="19">
        <v>1</v>
      </c>
    </row>
    <row r="7" spans="2:7" x14ac:dyDescent="0.85">
      <c r="B7" s="47" t="s">
        <v>370</v>
      </c>
      <c r="C7" s="2">
        <v>1</v>
      </c>
      <c r="D7" s="2"/>
      <c r="E7" s="2"/>
      <c r="F7" s="69"/>
      <c r="G7" s="2">
        <v>1</v>
      </c>
    </row>
    <row r="8" spans="2:7" x14ac:dyDescent="0.85">
      <c r="B8" s="47" t="s">
        <v>371</v>
      </c>
      <c r="C8" s="2">
        <v>4</v>
      </c>
      <c r="D8" s="2"/>
      <c r="E8" s="2">
        <v>1</v>
      </c>
      <c r="F8" s="2"/>
      <c r="G8" s="2">
        <v>5</v>
      </c>
    </row>
    <row r="9" spans="2:7" x14ac:dyDescent="0.85">
      <c r="B9" s="47" t="s">
        <v>9</v>
      </c>
      <c r="C9" s="2">
        <v>10</v>
      </c>
      <c r="D9" s="2">
        <v>1</v>
      </c>
      <c r="E9" s="2">
        <v>3</v>
      </c>
      <c r="F9" s="2">
        <v>1</v>
      </c>
      <c r="G9" s="2">
        <v>15</v>
      </c>
    </row>
  </sheetData>
  <mergeCells count="3">
    <mergeCell ref="B2:G2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4BE9-7F65-49F8-99D5-D46859154AC1}">
  <dimension ref="B2:F20"/>
  <sheetViews>
    <sheetView topLeftCell="A9" zoomScale="90" zoomScaleNormal="90" workbookViewId="0">
      <selection activeCell="H8" sqref="H8"/>
    </sheetView>
  </sheetViews>
  <sheetFormatPr defaultColWidth="9.1796875" defaultRowHeight="20" x14ac:dyDescent="0.85"/>
  <cols>
    <col min="1" max="1" width="9.1796875" style="1"/>
    <col min="2" max="2" width="41.54296875" style="1" customWidth="1"/>
    <col min="3" max="3" width="16.54296875" style="1" customWidth="1"/>
    <col min="4" max="4" width="14.81640625" style="1" customWidth="1"/>
    <col min="5" max="5" width="12.7265625" style="1" customWidth="1"/>
    <col min="6" max="6" width="13.54296875" style="1" customWidth="1"/>
    <col min="7" max="16384" width="9.1796875" style="1"/>
  </cols>
  <sheetData>
    <row r="2" spans="2:6" x14ac:dyDescent="0.85">
      <c r="B2" s="101" t="s">
        <v>50</v>
      </c>
      <c r="C2" s="101"/>
      <c r="D2" s="101"/>
    </row>
    <row r="3" spans="2:6" x14ac:dyDescent="0.85">
      <c r="B3" s="2"/>
      <c r="C3" s="2" t="s">
        <v>51</v>
      </c>
      <c r="D3" s="13" t="s">
        <v>52</v>
      </c>
      <c r="E3" s="2" t="s">
        <v>53</v>
      </c>
      <c r="F3" s="2" t="s">
        <v>54</v>
      </c>
    </row>
    <row r="4" spans="2:6" hidden="1" x14ac:dyDescent="0.85">
      <c r="B4" s="2"/>
      <c r="C4" s="2" t="s">
        <v>55</v>
      </c>
      <c r="D4" s="13" t="s">
        <v>21</v>
      </c>
      <c r="E4" s="2"/>
      <c r="F4" s="2"/>
    </row>
    <row r="5" spans="2:6" x14ac:dyDescent="0.85">
      <c r="B5" s="2" t="s">
        <v>56</v>
      </c>
      <c r="C5" s="2">
        <v>86</v>
      </c>
      <c r="D5" s="71"/>
      <c r="E5" s="2">
        <v>88</v>
      </c>
      <c r="F5" s="4"/>
    </row>
    <row r="6" spans="2:6" x14ac:dyDescent="0.85">
      <c r="B6" s="2" t="s">
        <v>57</v>
      </c>
      <c r="C6" s="2">
        <v>1</v>
      </c>
      <c r="D6" s="72">
        <v>0.33</v>
      </c>
      <c r="E6" s="2">
        <v>1</v>
      </c>
      <c r="F6" s="73">
        <v>0.33</v>
      </c>
    </row>
    <row r="7" spans="2:6" x14ac:dyDescent="0.85">
      <c r="B7" s="2" t="s">
        <v>58</v>
      </c>
      <c r="C7" s="2">
        <v>10</v>
      </c>
      <c r="D7" s="74"/>
      <c r="E7" s="2">
        <v>9</v>
      </c>
      <c r="F7" s="7"/>
    </row>
    <row r="8" spans="2:6" x14ac:dyDescent="0.85">
      <c r="B8" s="2" t="s">
        <v>59</v>
      </c>
      <c r="C8" s="2">
        <v>2</v>
      </c>
      <c r="D8" s="75"/>
      <c r="E8" s="2">
        <v>2</v>
      </c>
      <c r="F8" s="4"/>
    </row>
    <row r="9" spans="2:6" x14ac:dyDescent="0.85">
      <c r="B9" s="2" t="s">
        <v>60</v>
      </c>
      <c r="C9" s="2">
        <v>1</v>
      </c>
      <c r="D9" s="72">
        <v>0.01</v>
      </c>
      <c r="E9" s="2">
        <v>2</v>
      </c>
      <c r="F9" s="73">
        <v>0.01</v>
      </c>
    </row>
    <row r="10" spans="2:6" x14ac:dyDescent="0.85">
      <c r="B10" s="2" t="s">
        <v>61</v>
      </c>
      <c r="C10" s="2">
        <v>1</v>
      </c>
      <c r="D10" s="76"/>
      <c r="E10" s="2"/>
      <c r="F10" s="7"/>
    </row>
    <row r="11" spans="2:6" x14ac:dyDescent="0.85">
      <c r="B11" s="2" t="s">
        <v>62</v>
      </c>
      <c r="C11" s="2"/>
      <c r="D11" s="75"/>
      <c r="E11" s="2">
        <v>1</v>
      </c>
      <c r="F11" s="4"/>
    </row>
    <row r="12" spans="2:6" x14ac:dyDescent="0.85">
      <c r="B12" s="2" t="s">
        <v>63</v>
      </c>
      <c r="C12" s="2">
        <v>1</v>
      </c>
      <c r="D12" s="72">
        <v>0.01</v>
      </c>
      <c r="E12" s="2">
        <v>2</v>
      </c>
      <c r="F12" s="73">
        <v>0.01</v>
      </c>
    </row>
    <row r="13" spans="2:6" x14ac:dyDescent="0.85">
      <c r="B13" s="2" t="s">
        <v>64</v>
      </c>
      <c r="C13" s="2">
        <v>2</v>
      </c>
      <c r="D13" s="74"/>
      <c r="E13" s="2">
        <v>1</v>
      </c>
      <c r="F13" s="7"/>
    </row>
    <row r="14" spans="2:6" x14ac:dyDescent="0.85">
      <c r="B14" s="2" t="s">
        <v>65</v>
      </c>
      <c r="C14" s="2">
        <v>3</v>
      </c>
      <c r="D14" s="71"/>
      <c r="E14" s="2">
        <v>3</v>
      </c>
      <c r="F14" s="4"/>
    </row>
    <row r="15" spans="2:6" x14ac:dyDescent="0.85">
      <c r="B15" s="2" t="s">
        <v>66</v>
      </c>
      <c r="C15" s="2">
        <v>1</v>
      </c>
      <c r="D15" s="72"/>
      <c r="E15" s="2"/>
      <c r="F15" s="6"/>
    </row>
    <row r="16" spans="2:6" x14ac:dyDescent="0.85">
      <c r="B16" s="2" t="s">
        <v>67</v>
      </c>
      <c r="C16" s="2">
        <v>2</v>
      </c>
      <c r="D16" s="72">
        <v>0.03</v>
      </c>
      <c r="E16" s="2"/>
      <c r="F16" s="73">
        <v>0.02</v>
      </c>
    </row>
    <row r="17" spans="2:6" x14ac:dyDescent="0.85">
      <c r="B17" s="2" t="s">
        <v>68</v>
      </c>
      <c r="C17" s="2">
        <v>2</v>
      </c>
      <c r="D17" s="77"/>
      <c r="E17" s="2">
        <v>2</v>
      </c>
      <c r="F17" s="6"/>
    </row>
    <row r="18" spans="2:6" x14ac:dyDescent="0.85">
      <c r="B18" s="2" t="s">
        <v>69</v>
      </c>
      <c r="C18" s="2">
        <v>1</v>
      </c>
      <c r="D18" s="76"/>
      <c r="E18" s="2"/>
      <c r="F18" s="7"/>
    </row>
    <row r="19" spans="2:6" x14ac:dyDescent="0.85">
      <c r="B19" s="2" t="s">
        <v>70</v>
      </c>
      <c r="C19" s="2">
        <v>185</v>
      </c>
      <c r="D19" s="9">
        <v>0.62</v>
      </c>
      <c r="E19" s="2">
        <v>187</v>
      </c>
      <c r="F19" s="9">
        <v>0.63</v>
      </c>
    </row>
    <row r="20" spans="2:6" x14ac:dyDescent="0.85">
      <c r="B20" s="2" t="s">
        <v>9</v>
      </c>
      <c r="C20" s="2">
        <v>298</v>
      </c>
      <c r="D20" s="2"/>
      <c r="E20" s="2">
        <v>298</v>
      </c>
      <c r="F20" s="2"/>
    </row>
  </sheetData>
  <sortState xmlns:xlrd2="http://schemas.microsoft.com/office/spreadsheetml/2017/richdata2" ref="B5:D18">
    <sortCondition descending="1" ref="D5:D18"/>
  </sortState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562-6EEA-4B71-8420-A410B3188B51}">
  <dimension ref="B1:H12"/>
  <sheetViews>
    <sheetView zoomScale="90" zoomScaleNormal="90" workbookViewId="0">
      <selection activeCell="G7" sqref="G7"/>
    </sheetView>
  </sheetViews>
  <sheetFormatPr defaultColWidth="9.1796875" defaultRowHeight="20" x14ac:dyDescent="0.85"/>
  <cols>
    <col min="1" max="1" width="9.1796875" style="1"/>
    <col min="2" max="2" width="46.81640625" style="1" customWidth="1"/>
    <col min="3" max="3" width="14" style="1" customWidth="1"/>
    <col min="4" max="4" width="14.81640625" style="1" customWidth="1"/>
    <col min="5" max="5" width="14.7265625" style="1" customWidth="1"/>
    <col min="6" max="6" width="14.54296875" style="1" customWidth="1"/>
    <col min="7" max="7" width="27.7265625" style="1" customWidth="1"/>
    <col min="8" max="16384" width="9.1796875" style="1"/>
  </cols>
  <sheetData>
    <row r="1" spans="2:8" x14ac:dyDescent="0.85">
      <c r="B1" s="102" t="s">
        <v>71</v>
      </c>
      <c r="C1" s="102"/>
      <c r="D1" s="102"/>
      <c r="E1" s="102"/>
      <c r="F1" s="102"/>
      <c r="G1" s="102"/>
      <c r="H1" s="102"/>
    </row>
    <row r="3" spans="2:8" x14ac:dyDescent="0.85">
      <c r="B3" s="2"/>
      <c r="C3" s="2" t="s">
        <v>51</v>
      </c>
      <c r="D3" s="2" t="s">
        <v>52</v>
      </c>
      <c r="E3" s="2" t="s">
        <v>53</v>
      </c>
      <c r="F3" s="2" t="s">
        <v>54</v>
      </c>
    </row>
    <row r="4" spans="2:8" x14ac:dyDescent="0.85">
      <c r="B4" s="2" t="s">
        <v>72</v>
      </c>
      <c r="C4" s="2">
        <v>82</v>
      </c>
      <c r="D4" s="11">
        <v>0.27516778523489932</v>
      </c>
      <c r="E4" s="2">
        <v>53</v>
      </c>
      <c r="F4" s="11">
        <v>0.17785234899328858</v>
      </c>
    </row>
    <row r="5" spans="2:8" x14ac:dyDescent="0.85">
      <c r="B5" s="2" t="s">
        <v>73</v>
      </c>
      <c r="C5" s="2">
        <v>4</v>
      </c>
      <c r="D5" s="11">
        <v>1.3422818791946308E-2</v>
      </c>
      <c r="E5" s="2">
        <v>3</v>
      </c>
      <c r="F5" s="11">
        <v>1.0067114093959731E-2</v>
      </c>
    </row>
    <row r="6" spans="2:8" x14ac:dyDescent="0.85">
      <c r="B6" s="2" t="s">
        <v>74</v>
      </c>
      <c r="C6" s="2">
        <v>3</v>
      </c>
      <c r="D6" s="11">
        <v>1.0067114093959731E-2</v>
      </c>
      <c r="E6" s="2">
        <v>1</v>
      </c>
      <c r="F6" s="11">
        <v>3.3557046979865771E-3</v>
      </c>
    </row>
    <row r="7" spans="2:8" x14ac:dyDescent="0.85">
      <c r="B7" s="2" t="s">
        <v>75</v>
      </c>
      <c r="C7" s="2">
        <v>3</v>
      </c>
      <c r="D7" s="11">
        <v>1.0067114093959731E-2</v>
      </c>
      <c r="E7" s="2">
        <v>2</v>
      </c>
      <c r="F7" s="11">
        <v>6.7114093959731542E-3</v>
      </c>
    </row>
    <row r="8" spans="2:8" x14ac:dyDescent="0.85">
      <c r="B8" s="2" t="s">
        <v>76</v>
      </c>
      <c r="C8" s="2">
        <v>3</v>
      </c>
      <c r="D8" s="11">
        <v>1.0067114093959731E-2</v>
      </c>
      <c r="E8" s="2">
        <v>1</v>
      </c>
      <c r="F8" s="11">
        <v>3.3557046979865771E-3</v>
      </c>
    </row>
    <row r="9" spans="2:8" x14ac:dyDescent="0.85">
      <c r="B9" s="2" t="s">
        <v>77</v>
      </c>
      <c r="C9" s="2">
        <v>3</v>
      </c>
      <c r="D9" s="11">
        <v>1.0067114093959731E-2</v>
      </c>
      <c r="E9" s="2">
        <v>0</v>
      </c>
      <c r="F9" s="11">
        <v>0</v>
      </c>
    </row>
    <row r="10" spans="2:8" x14ac:dyDescent="0.85">
      <c r="B10" s="2" t="s">
        <v>40</v>
      </c>
      <c r="C10" s="2">
        <v>4</v>
      </c>
      <c r="D10" s="11">
        <v>1.3422818791946308E-2</v>
      </c>
      <c r="E10" s="2">
        <v>3</v>
      </c>
      <c r="F10" s="11">
        <v>1.0067114093959731E-2</v>
      </c>
    </row>
    <row r="11" spans="2:8" x14ac:dyDescent="0.85">
      <c r="B11" s="2" t="s">
        <v>78</v>
      </c>
      <c r="C11" s="2">
        <v>196</v>
      </c>
      <c r="D11" s="9">
        <v>0.66</v>
      </c>
      <c r="E11" s="2">
        <v>235</v>
      </c>
      <c r="F11" s="9">
        <v>0.79</v>
      </c>
    </row>
    <row r="12" spans="2:8" x14ac:dyDescent="0.85">
      <c r="B12" s="2" t="s">
        <v>9</v>
      </c>
      <c r="C12" s="2">
        <v>298</v>
      </c>
      <c r="D12" s="2"/>
      <c r="E12" s="2">
        <v>298</v>
      </c>
      <c r="F12" s="2"/>
    </row>
  </sheetData>
  <sortState xmlns:xlrd2="http://schemas.microsoft.com/office/spreadsheetml/2017/richdata2" ref="B4:F10">
    <sortCondition descending="1" ref="F3:F10"/>
  </sortState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87C3-8D34-4517-8ABA-64C34226827A}">
  <dimension ref="B3:H19"/>
  <sheetViews>
    <sheetView tabSelected="1" topLeftCell="A2" workbookViewId="0">
      <selection activeCell="K21" sqref="K21"/>
    </sheetView>
  </sheetViews>
  <sheetFormatPr defaultColWidth="9.1796875" defaultRowHeight="20" x14ac:dyDescent="0.85"/>
  <cols>
    <col min="1" max="1" width="9.1796875" style="1"/>
    <col min="2" max="2" width="28.453125" style="1" customWidth="1"/>
    <col min="3" max="3" width="11.1796875" style="1" customWidth="1"/>
    <col min="4" max="4" width="13.7265625" style="1" customWidth="1"/>
    <col min="5" max="5" width="14.81640625" style="1" customWidth="1"/>
    <col min="6" max="6" width="16.54296875" style="1" customWidth="1"/>
    <col min="7" max="7" width="12" style="1" customWidth="1"/>
    <col min="8" max="8" width="12.453125" style="1" customWidth="1"/>
    <col min="9" max="16384" width="9.1796875" style="1"/>
  </cols>
  <sheetData>
    <row r="3" spans="2:8" x14ac:dyDescent="0.85">
      <c r="B3" s="103" t="s">
        <v>79</v>
      </c>
      <c r="C3" s="104"/>
      <c r="D3" s="105"/>
    </row>
    <row r="4" spans="2:8" x14ac:dyDescent="0.85">
      <c r="B4" s="2"/>
      <c r="C4" s="2" t="s">
        <v>20</v>
      </c>
      <c r="D4" s="2" t="s">
        <v>80</v>
      </c>
    </row>
    <row r="5" spans="2:8" x14ac:dyDescent="0.85">
      <c r="B5" s="35" t="s">
        <v>81</v>
      </c>
      <c r="C5" s="2">
        <v>269</v>
      </c>
      <c r="D5" s="11">
        <v>0.9</v>
      </c>
    </row>
    <row r="6" spans="2:8" x14ac:dyDescent="0.85">
      <c r="B6" s="35" t="s">
        <v>82</v>
      </c>
      <c r="C6" s="2">
        <v>84</v>
      </c>
      <c r="D6" s="11">
        <v>0.28000000000000003</v>
      </c>
    </row>
    <row r="7" spans="2:8" x14ac:dyDescent="0.85">
      <c r="B7" s="35" t="s">
        <v>83</v>
      </c>
      <c r="C7" s="2">
        <v>84</v>
      </c>
      <c r="D7" s="11">
        <v>0.28000000000000003</v>
      </c>
    </row>
    <row r="8" spans="2:8" x14ac:dyDescent="0.85">
      <c r="B8" s="35" t="s">
        <v>84</v>
      </c>
      <c r="C8" s="2">
        <v>7</v>
      </c>
      <c r="D8" s="11">
        <v>0.02</v>
      </c>
    </row>
    <row r="9" spans="2:8" x14ac:dyDescent="0.85">
      <c r="B9" s="35" t="s">
        <v>40</v>
      </c>
      <c r="C9" s="2">
        <v>3</v>
      </c>
      <c r="D9" s="11">
        <v>0.01</v>
      </c>
    </row>
    <row r="11" spans="2:8" x14ac:dyDescent="0.85">
      <c r="B11" s="1" t="s">
        <v>85</v>
      </c>
    </row>
    <row r="14" spans="2:8" x14ac:dyDescent="0.85">
      <c r="B14" s="103" t="s">
        <v>86</v>
      </c>
      <c r="C14" s="104"/>
      <c r="D14" s="104"/>
      <c r="E14" s="104"/>
      <c r="F14" s="104"/>
      <c r="G14" s="104"/>
      <c r="H14" s="105"/>
    </row>
    <row r="15" spans="2:8" x14ac:dyDescent="0.85">
      <c r="B15" s="36" t="s">
        <v>87</v>
      </c>
      <c r="C15" s="2" t="s">
        <v>43</v>
      </c>
      <c r="D15" s="2" t="s">
        <v>44</v>
      </c>
      <c r="E15" s="2" t="s">
        <v>45</v>
      </c>
      <c r="F15" s="2" t="s">
        <v>46</v>
      </c>
      <c r="G15" s="2" t="s">
        <v>15</v>
      </c>
      <c r="H15" s="2" t="s">
        <v>88</v>
      </c>
    </row>
    <row r="16" spans="2:8" x14ac:dyDescent="0.85">
      <c r="B16" s="36">
        <v>1</v>
      </c>
      <c r="C16" s="2">
        <v>78</v>
      </c>
      <c r="D16" s="11">
        <v>0.52</v>
      </c>
      <c r="E16" s="2">
        <v>101</v>
      </c>
      <c r="F16" s="11">
        <v>0.69</v>
      </c>
      <c r="G16" s="2">
        <f>C16+E16</f>
        <v>179</v>
      </c>
      <c r="H16" s="11">
        <f>G16/298</f>
        <v>0.60067114093959728</v>
      </c>
    </row>
    <row r="17" spans="2:8" x14ac:dyDescent="0.85">
      <c r="B17" s="36">
        <v>2</v>
      </c>
      <c r="C17" s="2">
        <v>55</v>
      </c>
      <c r="D17" s="11">
        <v>0.36</v>
      </c>
      <c r="E17" s="2">
        <v>34</v>
      </c>
      <c r="F17" s="11">
        <v>0.23</v>
      </c>
      <c r="G17" s="2">
        <f t="shared" ref="G17:G18" si="0">C17+E17</f>
        <v>89</v>
      </c>
      <c r="H17" s="11">
        <f t="shared" ref="H17:H18" si="1">G17/298</f>
        <v>0.29865771812080538</v>
      </c>
    </row>
    <row r="18" spans="2:8" x14ac:dyDescent="0.85">
      <c r="B18" s="36">
        <v>3</v>
      </c>
      <c r="C18" s="2">
        <v>18</v>
      </c>
      <c r="D18" s="11">
        <v>0.12</v>
      </c>
      <c r="E18" s="2">
        <v>12</v>
      </c>
      <c r="F18" s="11">
        <v>0.08</v>
      </c>
      <c r="G18" s="2">
        <f t="shared" si="0"/>
        <v>30</v>
      </c>
      <c r="H18" s="11">
        <f t="shared" si="1"/>
        <v>0.10067114093959731</v>
      </c>
    </row>
    <row r="19" spans="2:8" x14ac:dyDescent="0.85">
      <c r="B19" s="2" t="s">
        <v>9</v>
      </c>
      <c r="C19" s="2">
        <v>151</v>
      </c>
      <c r="D19" s="2"/>
      <c r="E19" s="2">
        <v>147</v>
      </c>
      <c r="F19" s="2"/>
      <c r="G19" s="2">
        <v>298</v>
      </c>
      <c r="H19" s="2"/>
    </row>
  </sheetData>
  <mergeCells count="2">
    <mergeCell ref="B3:D3"/>
    <mergeCell ref="B14:H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D5B5-AC62-46A3-B47D-C9FBFEF41AE3}">
  <dimension ref="B2:E26"/>
  <sheetViews>
    <sheetView topLeftCell="A18" workbookViewId="0">
      <selection activeCell="I17" sqref="I17"/>
    </sheetView>
  </sheetViews>
  <sheetFormatPr defaultColWidth="9.1796875" defaultRowHeight="20" x14ac:dyDescent="0.85"/>
  <cols>
    <col min="1" max="1" width="9.1796875" style="1"/>
    <col min="2" max="2" width="10.1796875" style="1" customWidth="1"/>
    <col min="3" max="3" width="12.1796875" style="1" customWidth="1"/>
    <col min="4" max="4" width="15.7265625" style="1" customWidth="1"/>
    <col min="5" max="16384" width="9.1796875" style="1"/>
  </cols>
  <sheetData>
    <row r="2" spans="2:5" x14ac:dyDescent="0.85">
      <c r="B2" s="1" t="s">
        <v>89</v>
      </c>
    </row>
    <row r="4" spans="2:5" x14ac:dyDescent="0.85">
      <c r="B4" s="2" t="s">
        <v>90</v>
      </c>
      <c r="C4" s="2" t="s">
        <v>87</v>
      </c>
      <c r="D4" s="2" t="s">
        <v>21</v>
      </c>
    </row>
    <row r="5" spans="2:5" x14ac:dyDescent="0.85">
      <c r="B5" s="2">
        <v>2019</v>
      </c>
      <c r="C5" s="2">
        <v>2</v>
      </c>
      <c r="D5" s="11">
        <f>C5/298</f>
        <v>6.7114093959731542E-3</v>
      </c>
    </row>
    <row r="6" spans="2:5" x14ac:dyDescent="0.85">
      <c r="B6" s="2">
        <v>2020</v>
      </c>
      <c r="C6" s="2">
        <v>2</v>
      </c>
      <c r="D6" s="11">
        <f>C6/298</f>
        <v>6.7114093959731542E-3</v>
      </c>
    </row>
    <row r="7" spans="2:5" x14ac:dyDescent="0.85">
      <c r="B7" s="2">
        <v>2021</v>
      </c>
      <c r="C7" s="2">
        <v>29</v>
      </c>
      <c r="D7" s="11">
        <f>C7/298</f>
        <v>9.7315436241610737E-2</v>
      </c>
    </row>
    <row r="8" spans="2:5" x14ac:dyDescent="0.85">
      <c r="B8" s="2">
        <v>2022</v>
      </c>
      <c r="C8" s="2">
        <v>155</v>
      </c>
      <c r="D8" s="11">
        <f>C8/298</f>
        <v>0.52013422818791943</v>
      </c>
    </row>
    <row r="9" spans="2:5" x14ac:dyDescent="0.85">
      <c r="B9" s="2">
        <v>2023</v>
      </c>
      <c r="C9" s="2">
        <v>110</v>
      </c>
      <c r="D9" s="11">
        <f>C9/298</f>
        <v>0.36912751677852351</v>
      </c>
    </row>
    <row r="10" spans="2:5" x14ac:dyDescent="0.85">
      <c r="B10" s="2" t="s">
        <v>9</v>
      </c>
      <c r="C10" s="2">
        <v>298</v>
      </c>
      <c r="D10" s="11"/>
    </row>
    <row r="13" spans="2:5" x14ac:dyDescent="0.85">
      <c r="B13" s="1" t="s">
        <v>91</v>
      </c>
    </row>
    <row r="15" spans="2:5" x14ac:dyDescent="0.85">
      <c r="B15" s="2"/>
      <c r="C15" s="2" t="s">
        <v>7</v>
      </c>
      <c r="D15" s="2" t="s">
        <v>8</v>
      </c>
      <c r="E15" s="2" t="s">
        <v>9</v>
      </c>
    </row>
    <row r="16" spans="2:5" x14ac:dyDescent="0.85">
      <c r="B16" s="2" t="s">
        <v>92</v>
      </c>
      <c r="C16" s="2">
        <v>0</v>
      </c>
      <c r="D16" s="2">
        <v>3</v>
      </c>
      <c r="E16" s="2">
        <v>0</v>
      </c>
    </row>
    <row r="17" spans="2:5" x14ac:dyDescent="0.85">
      <c r="B17" s="2" t="s">
        <v>93</v>
      </c>
      <c r="C17" s="2">
        <v>245</v>
      </c>
      <c r="D17" s="2">
        <v>195</v>
      </c>
      <c r="E17" s="2">
        <v>218</v>
      </c>
    </row>
    <row r="18" spans="2:5" x14ac:dyDescent="0.85">
      <c r="B18" s="2" t="s">
        <v>94</v>
      </c>
      <c r="C18" s="2">
        <v>303</v>
      </c>
      <c r="D18" s="2">
        <v>234</v>
      </c>
      <c r="E18" s="2">
        <v>269</v>
      </c>
    </row>
    <row r="19" spans="2:5" x14ac:dyDescent="0.85">
      <c r="B19" s="2" t="s">
        <v>95</v>
      </c>
      <c r="C19" s="2">
        <v>1604</v>
      </c>
      <c r="D19" s="2">
        <v>1680</v>
      </c>
      <c r="E19" s="2">
        <v>1680</v>
      </c>
    </row>
    <row r="22" spans="2:5" x14ac:dyDescent="0.85">
      <c r="B22" s="1" t="s">
        <v>96</v>
      </c>
    </row>
    <row r="24" spans="2:5" x14ac:dyDescent="0.85">
      <c r="B24" s="2"/>
      <c r="C24" s="2" t="s">
        <v>97</v>
      </c>
      <c r="D24" s="2" t="s">
        <v>98</v>
      </c>
    </row>
    <row r="25" spans="2:5" x14ac:dyDescent="0.85">
      <c r="B25" s="2" t="s">
        <v>93</v>
      </c>
      <c r="C25" s="2">
        <v>233</v>
      </c>
      <c r="D25" s="2">
        <v>155</v>
      </c>
    </row>
    <row r="26" spans="2:5" x14ac:dyDescent="0.85">
      <c r="B26" s="2" t="s">
        <v>94</v>
      </c>
      <c r="C26" s="2">
        <v>286</v>
      </c>
      <c r="D26" s="2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99AB-0E75-4AF9-9C2C-62B7A763CB98}">
  <dimension ref="B2:H40"/>
  <sheetViews>
    <sheetView zoomScale="90" zoomScaleNormal="90" workbookViewId="0">
      <selection activeCell="G33" sqref="G33"/>
    </sheetView>
  </sheetViews>
  <sheetFormatPr defaultColWidth="9.1796875" defaultRowHeight="20" x14ac:dyDescent="0.85"/>
  <cols>
    <col min="1" max="1" width="9.1796875" style="1"/>
    <col min="2" max="2" width="24.1796875" style="1" customWidth="1"/>
    <col min="3" max="3" width="19.54296875" style="1" customWidth="1"/>
    <col min="4" max="4" width="18.1796875" style="1" customWidth="1"/>
    <col min="5" max="5" width="15" style="1" customWidth="1"/>
    <col min="6" max="6" width="15.7265625" style="1" customWidth="1"/>
    <col min="7" max="7" width="10" style="1" customWidth="1"/>
    <col min="8" max="8" width="11.54296875" style="1" customWidth="1"/>
    <col min="9" max="16384" width="9.1796875" style="1"/>
  </cols>
  <sheetData>
    <row r="2" spans="2:8" x14ac:dyDescent="0.85">
      <c r="B2" s="102" t="s">
        <v>99</v>
      </c>
      <c r="C2" s="102"/>
      <c r="D2" s="102"/>
      <c r="E2" s="102"/>
    </row>
    <row r="3" spans="2:8" x14ac:dyDescent="0.85">
      <c r="B3" s="2"/>
      <c r="C3" s="13" t="s">
        <v>43</v>
      </c>
      <c r="D3" s="8" t="s">
        <v>44</v>
      </c>
      <c r="E3" s="13" t="s">
        <v>45</v>
      </c>
      <c r="F3" s="8" t="s">
        <v>46</v>
      </c>
      <c r="G3" s="2" t="s">
        <v>15</v>
      </c>
      <c r="H3" s="2" t="s">
        <v>88</v>
      </c>
    </row>
    <row r="4" spans="2:8" x14ac:dyDescent="0.85">
      <c r="B4" s="2" t="s">
        <v>100</v>
      </c>
      <c r="C4" s="21">
        <v>140</v>
      </c>
      <c r="D4" s="22">
        <v>0.93</v>
      </c>
      <c r="E4" s="23">
        <v>119</v>
      </c>
      <c r="F4" s="24">
        <v>0.81</v>
      </c>
      <c r="G4" s="2">
        <f>C4+E4</f>
        <v>259</v>
      </c>
      <c r="H4" s="25">
        <f>G4/298</f>
        <v>0.86912751677852351</v>
      </c>
    </row>
    <row r="5" spans="2:8" x14ac:dyDescent="0.85">
      <c r="B5" s="4" t="s">
        <v>101</v>
      </c>
      <c r="C5" s="26">
        <v>11</v>
      </c>
      <c r="D5" s="27">
        <v>7.0000000000000007E-2</v>
      </c>
      <c r="E5" s="28">
        <v>28</v>
      </c>
      <c r="F5" s="29">
        <v>0.19</v>
      </c>
      <c r="G5" s="4">
        <f>C5+E5</f>
        <v>39</v>
      </c>
      <c r="H5" s="30">
        <f>G5/298</f>
        <v>0.13087248322147652</v>
      </c>
    </row>
    <row r="6" spans="2:8" x14ac:dyDescent="0.85">
      <c r="B6" s="31" t="s">
        <v>9</v>
      </c>
      <c r="C6" s="2">
        <v>151</v>
      </c>
      <c r="D6" s="2"/>
      <c r="E6" s="32">
        <v>147</v>
      </c>
      <c r="F6" s="2"/>
      <c r="G6" s="2"/>
      <c r="H6" s="2"/>
    </row>
    <row r="7" spans="2:8" x14ac:dyDescent="0.85">
      <c r="B7" s="33"/>
      <c r="E7" s="34"/>
    </row>
    <row r="28" spans="2:4" x14ac:dyDescent="0.85">
      <c r="B28" s="1" t="s">
        <v>102</v>
      </c>
    </row>
    <row r="30" spans="2:4" x14ac:dyDescent="0.85">
      <c r="B30" s="2" t="s">
        <v>103</v>
      </c>
      <c r="C30" s="2" t="s">
        <v>372</v>
      </c>
      <c r="D30" s="2" t="s">
        <v>373</v>
      </c>
    </row>
    <row r="31" spans="2:4" x14ac:dyDescent="0.85">
      <c r="B31" s="2" t="s">
        <v>104</v>
      </c>
      <c r="C31" s="2">
        <v>179</v>
      </c>
      <c r="D31" s="9">
        <v>0.69</v>
      </c>
    </row>
    <row r="32" spans="2:4" x14ac:dyDescent="0.85">
      <c r="B32" s="2" t="s">
        <v>105</v>
      </c>
      <c r="C32" s="2">
        <v>168</v>
      </c>
      <c r="D32" s="9">
        <v>0.65</v>
      </c>
    </row>
    <row r="33" spans="2:4" x14ac:dyDescent="0.85">
      <c r="B33" s="2" t="s">
        <v>106</v>
      </c>
      <c r="C33" s="2">
        <v>210</v>
      </c>
      <c r="D33" s="9">
        <v>0.81</v>
      </c>
    </row>
    <row r="34" spans="2:4" x14ac:dyDescent="0.85">
      <c r="B34" s="2" t="s">
        <v>107</v>
      </c>
      <c r="C34" s="2">
        <v>89</v>
      </c>
      <c r="D34" s="9">
        <v>0.34</v>
      </c>
    </row>
    <row r="35" spans="2:4" x14ac:dyDescent="0.85">
      <c r="B35" s="2" t="s">
        <v>108</v>
      </c>
      <c r="C35" s="2">
        <v>30</v>
      </c>
      <c r="D35" s="9">
        <v>0.12</v>
      </c>
    </row>
    <row r="36" spans="2:4" x14ac:dyDescent="0.85">
      <c r="B36" s="2" t="s">
        <v>109</v>
      </c>
      <c r="C36" s="2">
        <v>76</v>
      </c>
      <c r="D36" s="9">
        <v>0.28999999999999998</v>
      </c>
    </row>
    <row r="37" spans="2:4" x14ac:dyDescent="0.85">
      <c r="B37" s="2" t="s">
        <v>110</v>
      </c>
      <c r="C37" s="2">
        <v>28</v>
      </c>
      <c r="D37" s="9">
        <v>0.11</v>
      </c>
    </row>
    <row r="38" spans="2:4" x14ac:dyDescent="0.85">
      <c r="B38" s="2" t="s">
        <v>40</v>
      </c>
      <c r="C38" s="2">
        <v>36</v>
      </c>
      <c r="D38" s="9">
        <v>0.14000000000000001</v>
      </c>
    </row>
    <row r="39" spans="2:4" x14ac:dyDescent="0.85">
      <c r="B39" s="2" t="s">
        <v>9</v>
      </c>
      <c r="C39" s="2">
        <v>259</v>
      </c>
      <c r="D39" s="2"/>
    </row>
    <row r="40" spans="2:4" x14ac:dyDescent="0.85">
      <c r="D40" s="46"/>
    </row>
  </sheetData>
  <mergeCells count="1">
    <mergeCell ref="B2:E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891D-07C8-4AB5-A1E7-C519B15D31DA}">
  <sheetPr>
    <tabColor rgb="FF00B050"/>
  </sheetPr>
  <dimension ref="B3:H56"/>
  <sheetViews>
    <sheetView zoomScaleNormal="100" workbookViewId="0">
      <selection activeCell="D54" sqref="D54"/>
    </sheetView>
  </sheetViews>
  <sheetFormatPr defaultColWidth="9.1796875" defaultRowHeight="20" x14ac:dyDescent="0.85"/>
  <cols>
    <col min="1" max="1" width="9.1796875" style="1"/>
    <col min="2" max="2" width="37.1796875" style="1" customWidth="1"/>
    <col min="3" max="3" width="12.1796875" style="1" customWidth="1"/>
    <col min="4" max="4" width="10.7265625" style="1" customWidth="1"/>
    <col min="5" max="5" width="12.7265625" style="1" customWidth="1"/>
    <col min="6" max="6" width="14.81640625" style="1" customWidth="1"/>
    <col min="7" max="16384" width="9.1796875" style="1"/>
  </cols>
  <sheetData>
    <row r="3" spans="2:8" hidden="1" x14ac:dyDescent="0.85"/>
    <row r="4" spans="2:8" x14ac:dyDescent="0.85">
      <c r="B4" s="101" t="s">
        <v>111</v>
      </c>
      <c r="C4" s="101"/>
      <c r="D4" s="101"/>
      <c r="E4" s="101"/>
      <c r="F4" s="101"/>
    </row>
    <row r="5" spans="2:8" x14ac:dyDescent="0.85">
      <c r="B5" s="2" t="s">
        <v>112</v>
      </c>
      <c r="C5" s="2" t="s">
        <v>43</v>
      </c>
      <c r="D5" s="2" t="s">
        <v>44</v>
      </c>
      <c r="E5" s="2" t="s">
        <v>45</v>
      </c>
      <c r="F5" s="13" t="s">
        <v>46</v>
      </c>
      <c r="G5" s="2" t="s">
        <v>15</v>
      </c>
      <c r="H5" s="2" t="s">
        <v>88</v>
      </c>
    </row>
    <row r="6" spans="2:8" x14ac:dyDescent="0.85">
      <c r="B6" s="37" t="s">
        <v>113</v>
      </c>
      <c r="C6" s="38">
        <v>110</v>
      </c>
      <c r="D6" s="39">
        <v>0.79</v>
      </c>
      <c r="E6" s="38">
        <v>88</v>
      </c>
      <c r="F6" s="40">
        <v>0.74</v>
      </c>
      <c r="G6" s="41">
        <f t="shared" ref="G6:G12" si="0">C6+E6</f>
        <v>198</v>
      </c>
      <c r="H6" s="42">
        <f t="shared" ref="H6:H12" si="1">G6/259</f>
        <v>0.76447876447876451</v>
      </c>
    </row>
    <row r="7" spans="2:8" x14ac:dyDescent="0.85">
      <c r="B7" s="37" t="s">
        <v>114</v>
      </c>
      <c r="C7" s="38">
        <v>89</v>
      </c>
      <c r="D7" s="39">
        <v>0.64</v>
      </c>
      <c r="E7" s="38">
        <v>56</v>
      </c>
      <c r="F7" s="40">
        <v>0.47</v>
      </c>
      <c r="G7" s="41">
        <f t="shared" si="0"/>
        <v>145</v>
      </c>
      <c r="H7" s="42">
        <f t="shared" si="1"/>
        <v>0.55984555984555984</v>
      </c>
    </row>
    <row r="8" spans="2:8" x14ac:dyDescent="0.85">
      <c r="B8" s="37" t="s">
        <v>115</v>
      </c>
      <c r="C8" s="38">
        <v>49</v>
      </c>
      <c r="D8" s="39">
        <v>0.35</v>
      </c>
      <c r="E8" s="38">
        <v>41</v>
      </c>
      <c r="F8" s="40">
        <v>0.34</v>
      </c>
      <c r="G8" s="41">
        <f t="shared" si="0"/>
        <v>90</v>
      </c>
      <c r="H8" s="42">
        <f t="shared" si="1"/>
        <v>0.34749034749034752</v>
      </c>
    </row>
    <row r="9" spans="2:8" x14ac:dyDescent="0.85">
      <c r="B9" s="37" t="s">
        <v>116</v>
      </c>
      <c r="C9" s="38">
        <v>46</v>
      </c>
      <c r="D9" s="39">
        <v>0.33</v>
      </c>
      <c r="E9" s="38">
        <v>36</v>
      </c>
      <c r="F9" s="40">
        <v>0.3</v>
      </c>
      <c r="G9" s="41">
        <f t="shared" si="0"/>
        <v>82</v>
      </c>
      <c r="H9" s="42">
        <f t="shared" si="1"/>
        <v>0.31660231660231658</v>
      </c>
    </row>
    <row r="10" spans="2:8" x14ac:dyDescent="0.85">
      <c r="B10" s="37" t="s">
        <v>117</v>
      </c>
      <c r="C10" s="38">
        <v>25</v>
      </c>
      <c r="D10" s="39">
        <v>0.18</v>
      </c>
      <c r="E10" s="38">
        <v>26</v>
      </c>
      <c r="F10" s="40">
        <v>0.22</v>
      </c>
      <c r="G10" s="41">
        <f t="shared" si="0"/>
        <v>51</v>
      </c>
      <c r="H10" s="42">
        <f t="shared" si="1"/>
        <v>0.19691119691119691</v>
      </c>
    </row>
    <row r="11" spans="2:8" x14ac:dyDescent="0.85">
      <c r="B11" s="37" t="s">
        <v>118</v>
      </c>
      <c r="C11" s="38">
        <v>25</v>
      </c>
      <c r="D11" s="39">
        <v>0.18</v>
      </c>
      <c r="E11" s="38">
        <v>10</v>
      </c>
      <c r="F11" s="40">
        <v>0.08</v>
      </c>
      <c r="G11" s="41">
        <f t="shared" si="0"/>
        <v>35</v>
      </c>
      <c r="H11" s="42">
        <f t="shared" si="1"/>
        <v>0.13513513513513514</v>
      </c>
    </row>
    <row r="12" spans="2:8" x14ac:dyDescent="0.85">
      <c r="B12" s="37" t="s">
        <v>119</v>
      </c>
      <c r="C12" s="38">
        <v>3</v>
      </c>
      <c r="D12" s="39">
        <v>0.02</v>
      </c>
      <c r="E12" s="38">
        <v>2</v>
      </c>
      <c r="F12" s="40">
        <v>0.02</v>
      </c>
      <c r="G12" s="41">
        <f t="shared" si="0"/>
        <v>5</v>
      </c>
      <c r="H12" s="42">
        <f t="shared" si="1"/>
        <v>1.9305019305019305E-2</v>
      </c>
    </row>
    <row r="13" spans="2:8" x14ac:dyDescent="0.85">
      <c r="B13" s="37" t="s">
        <v>120</v>
      </c>
      <c r="C13" s="38">
        <v>140</v>
      </c>
      <c r="D13" s="2"/>
      <c r="E13" s="38">
        <v>119</v>
      </c>
      <c r="F13" s="2"/>
      <c r="G13" s="2">
        <v>259</v>
      </c>
      <c r="H13" s="2"/>
    </row>
    <row r="44" spans="2:4" x14ac:dyDescent="0.85">
      <c r="B44" s="1" t="s">
        <v>121</v>
      </c>
    </row>
    <row r="46" spans="2:4" x14ac:dyDescent="0.85">
      <c r="B46" s="2"/>
      <c r="C46" s="17" t="s">
        <v>87</v>
      </c>
      <c r="D46" s="17" t="s">
        <v>21</v>
      </c>
    </row>
    <row r="47" spans="2:4" x14ac:dyDescent="0.85">
      <c r="B47" s="2" t="s">
        <v>122</v>
      </c>
      <c r="C47" s="2">
        <v>46</v>
      </c>
      <c r="D47" s="11">
        <f t="shared" ref="D47:D52" si="2">C47/259</f>
        <v>0.17760617760617761</v>
      </c>
    </row>
    <row r="48" spans="2:4" x14ac:dyDescent="0.85">
      <c r="B48" s="2" t="s">
        <v>123</v>
      </c>
      <c r="C48" s="2">
        <v>78</v>
      </c>
      <c r="D48" s="11">
        <f t="shared" si="2"/>
        <v>0.30115830115830117</v>
      </c>
    </row>
    <row r="49" spans="2:4" x14ac:dyDescent="0.85">
      <c r="B49" s="2" t="s">
        <v>124</v>
      </c>
      <c r="C49" s="2">
        <v>71</v>
      </c>
      <c r="D49" s="11">
        <f t="shared" si="2"/>
        <v>0.27413127413127414</v>
      </c>
    </row>
    <row r="50" spans="2:4" x14ac:dyDescent="0.85">
      <c r="B50" s="2" t="s">
        <v>125</v>
      </c>
      <c r="C50" s="2">
        <v>35</v>
      </c>
      <c r="D50" s="11">
        <f t="shared" si="2"/>
        <v>0.13513513513513514</v>
      </c>
    </row>
    <row r="51" spans="2:4" x14ac:dyDescent="0.85">
      <c r="B51" s="2" t="s">
        <v>126</v>
      </c>
      <c r="C51" s="2">
        <v>9</v>
      </c>
      <c r="D51" s="11">
        <f t="shared" si="2"/>
        <v>3.4749034749034749E-2</v>
      </c>
    </row>
    <row r="52" spans="2:4" x14ac:dyDescent="0.85">
      <c r="B52" s="2" t="s">
        <v>127</v>
      </c>
      <c r="C52" s="2">
        <v>1</v>
      </c>
      <c r="D52" s="11">
        <f t="shared" si="2"/>
        <v>3.8610038610038611E-3</v>
      </c>
    </row>
    <row r="53" spans="2:4" x14ac:dyDescent="0.85">
      <c r="B53" s="2" t="s">
        <v>128</v>
      </c>
      <c r="C53" s="2">
        <v>58</v>
      </c>
      <c r="D53" s="11">
        <f>C53/259</f>
        <v>0.22393822393822393</v>
      </c>
    </row>
    <row r="54" spans="2:4" x14ac:dyDescent="0.85">
      <c r="B54" s="2" t="s">
        <v>388</v>
      </c>
      <c r="C54" s="2">
        <v>259</v>
      </c>
      <c r="D54" s="2"/>
    </row>
    <row r="56" spans="2:4" x14ac:dyDescent="0.85">
      <c r="B56" s="1" t="s">
        <v>129</v>
      </c>
    </row>
  </sheetData>
  <mergeCells count="1">
    <mergeCell ref="B4:F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28C4-98EA-4DE0-9356-7725AEDD817E}">
  <dimension ref="B2:F14"/>
  <sheetViews>
    <sheetView topLeftCell="A3" workbookViewId="0">
      <selection activeCell="D7" sqref="D7"/>
    </sheetView>
  </sheetViews>
  <sheetFormatPr defaultColWidth="9.1796875" defaultRowHeight="20" x14ac:dyDescent="0.85"/>
  <cols>
    <col min="1" max="1" width="9.1796875" style="1"/>
    <col min="2" max="2" width="31.81640625" style="1" customWidth="1"/>
    <col min="3" max="3" width="14.26953125" style="1" customWidth="1"/>
    <col min="4" max="4" width="14.453125" style="1" customWidth="1"/>
    <col min="5" max="5" width="17.81640625" style="1" customWidth="1"/>
    <col min="6" max="6" width="19.1796875" style="1" customWidth="1"/>
    <col min="7" max="16384" width="9.1796875" style="1"/>
  </cols>
  <sheetData>
    <row r="2" spans="2:6" x14ac:dyDescent="0.85">
      <c r="B2" s="1" t="s">
        <v>130</v>
      </c>
    </row>
    <row r="4" spans="2:6" x14ac:dyDescent="0.85">
      <c r="B4" s="2" t="s">
        <v>131</v>
      </c>
      <c r="C4" s="2" t="s">
        <v>87</v>
      </c>
      <c r="D4" s="2" t="s">
        <v>132</v>
      </c>
    </row>
    <row r="5" spans="2:6" x14ac:dyDescent="0.85">
      <c r="B5" s="2" t="s">
        <v>133</v>
      </c>
      <c r="C5" s="2">
        <v>67</v>
      </c>
      <c r="D5" s="11">
        <f>C5/298</f>
        <v>0.22483221476510068</v>
      </c>
    </row>
    <row r="6" spans="2:6" x14ac:dyDescent="0.85">
      <c r="B6" s="2" t="s">
        <v>134</v>
      </c>
      <c r="C6" s="2">
        <v>28</v>
      </c>
      <c r="D6" s="11">
        <f>C6/298</f>
        <v>9.3959731543624164E-2</v>
      </c>
    </row>
    <row r="7" spans="2:6" x14ac:dyDescent="0.85">
      <c r="B7" s="2" t="s">
        <v>135</v>
      </c>
      <c r="C7" s="2">
        <v>9</v>
      </c>
      <c r="D7" s="11">
        <f>C7/298</f>
        <v>3.0201342281879196E-2</v>
      </c>
    </row>
    <row r="10" spans="2:6" x14ac:dyDescent="0.85">
      <c r="B10" s="1" t="s">
        <v>136</v>
      </c>
    </row>
    <row r="11" spans="2:6" x14ac:dyDescent="0.85">
      <c r="B11" s="2"/>
      <c r="C11" s="2" t="s">
        <v>137</v>
      </c>
      <c r="D11" s="2" t="s">
        <v>138</v>
      </c>
      <c r="E11" s="2" t="s">
        <v>139</v>
      </c>
      <c r="F11" s="2" t="s">
        <v>140</v>
      </c>
    </row>
    <row r="12" spans="2:6" x14ac:dyDescent="0.85">
      <c r="B12" s="2" t="s">
        <v>141</v>
      </c>
      <c r="C12" s="2">
        <v>37</v>
      </c>
      <c r="D12" s="11">
        <f>C12/259</f>
        <v>0.14285714285714285</v>
      </c>
      <c r="E12" s="2">
        <v>0</v>
      </c>
      <c r="F12" s="11">
        <f>E12/39</f>
        <v>0</v>
      </c>
    </row>
    <row r="13" spans="2:6" x14ac:dyDescent="0.85">
      <c r="B13" s="2" t="s">
        <v>142</v>
      </c>
      <c r="C13" s="2">
        <v>222</v>
      </c>
      <c r="D13" s="11">
        <f>C13/259</f>
        <v>0.8571428571428571</v>
      </c>
      <c r="E13" s="2">
        <v>39</v>
      </c>
      <c r="F13" s="11">
        <f>E13/39</f>
        <v>1</v>
      </c>
    </row>
    <row r="14" spans="2:6" x14ac:dyDescent="0.85">
      <c r="B14" s="2" t="s">
        <v>9</v>
      </c>
      <c r="C14" s="2">
        <v>259</v>
      </c>
      <c r="D14" s="2"/>
      <c r="E14" s="2">
        <v>39</v>
      </c>
      <c r="F14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17ab-6472-4075-af16-7dc6074df91e">
      <Value>61</Value>
      <Value>4</Value>
      <Value>2</Value>
      <Value>1</Value>
    </TaxCatchAll>
    <n7493b4506bf40e28c373b1e51a33445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– Significant</TermName>
          <TermId xmlns="http://schemas.microsoft.com/office/infopath/2007/PartnerControls">b8faeb8d-1a87-44bd-8153-bff3c10363ae</TermId>
        </TermInfo>
      </Terms>
    </n7493b4506bf40e28c373b1e51a33445>
    <cf401361b24e474cb011be6eb76c0e76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HOMigrated xmlns="4e9417ab-6472-4075-af16-7dc6074df91e">false</HOMigrated>
    <lcf76f155ced4ddcb4097134ff3c332f xmlns="3746cbd3-3eae-4bac-8fc4-0a8f8c903af1">
      <Terms xmlns="http://schemas.microsoft.com/office/infopath/2007/PartnerControls"/>
    </lcf76f155ced4ddcb4097134ff3c332f>
    <lae2bfa7b6474897ab4a53f76ea236c7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jb5e598af17141539648acf311d7477b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 Commissioner (P)</TermName>
          <TermId xmlns="http://schemas.microsoft.com/office/infopath/2007/PartnerControls">353b025c-0a9c-49bd-8b14-d29570a998bc</TermId>
        </TermInfo>
      </Terms>
    </jb5e598af17141539648acf311d7477b>
  </documentManagement>
</p:properties>
</file>

<file path=customXml/item2.xml><?xml version="1.0" encoding="utf-8"?>
<?mso-contentType ?>
<SharedContentType xmlns="Microsoft.SharePoint.Taxonomy.ContentTypeSync" SourceId="93e580ec-c125-41f3-a307-e1c841722a86" ContentTypeId="0x010100A5BF1C78D9F64B679A5EBDE1C6598EBC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A5BF1C78D9F64B679A5EBDE1C6598EBC0100348EAB06A237BE46983DE860CF4A3B67" ma:contentTypeVersion="21" ma:contentTypeDescription="Create a new document." ma:contentTypeScope="" ma:versionID="70395deee1689f94ce3900f4be3d7d1a">
  <xsd:schema xmlns:xsd="http://www.w3.org/2001/XMLSchema" xmlns:xs="http://www.w3.org/2001/XMLSchema" xmlns:p="http://schemas.microsoft.com/office/2006/metadata/properties" xmlns:ns2="4e9417ab-6472-4075-af16-7dc6074df91e" xmlns:ns3="3746cbd3-3eae-4bac-8fc4-0a8f8c903af1" xmlns:ns4="8d5521e7-f0a7-4155-a442-ca18a1ac9c72" targetNamespace="http://schemas.microsoft.com/office/2006/metadata/properties" ma:root="true" ma:fieldsID="8f1e234333fdf372432c72409ee18aac" ns2:_="" ns3:_="" ns4:_="">
    <xsd:import namespace="4e9417ab-6472-4075-af16-7dc6074df91e"/>
    <xsd:import namespace="3746cbd3-3eae-4bac-8fc4-0a8f8c903af1"/>
    <xsd:import namespace="8d5521e7-f0a7-4155-a442-ca18a1ac9c7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jb5e598af17141539648acf311d7477b" minOccurs="0"/>
                <xsd:element ref="ns2:n7493b4506bf40e28c373b1e51a33445" minOccurs="0"/>
                <xsd:element ref="ns2:HOMigrate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17ab-6472-4075-af16-7dc6074df91e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1;#Official|14c80daa-741b-422c-9722-f71693c9ede4" ma:fieldId="{5ae2bfa7-b647-4897-ab4a-53f76ea236c7}" ma:sspId="93e580ec-c125-41f3-a307-e1c841722a86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df97ad8-3875-49e2-b01f-1e6fc3b4e722}" ma:internalName="TaxCatchAll" ma:showField="CatchAllData" ma:web="8d5521e7-f0a7-4155-a442-ca18a1ac9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df97ad8-3875-49e2-b01f-1e6fc3b4e722}" ma:internalName="TaxCatchAllLabel" ma:readOnly="true" ma:showField="CatchAllDataLabel" ma:web="8d5521e7-f0a7-4155-a442-ca18a1ac9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2;#Crown|69589897-2828-4761-976e-717fd8e631c9" ma:fieldId="{cf401361-b24e-474c-b011-be6eb76c0e76}" ma:sspId="93e580ec-c125-41f3-a307-e1c841722a86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5e598af17141539648acf311d7477b" ma:index="14" nillable="true" ma:taxonomy="true" ma:internalName="jb5e598af17141539648acf311d7477b" ma:taxonomyFieldName="HOBusinessUnit" ma:displayName="Business unit" ma:default="61;#DA Commissioner (P)|353b025c-0a9c-49bd-8b14-d29570a998bc" ma:fieldId="{3b5e598a-f171-4153-9648-acf311d7477b}" ma:sspId="93e580ec-c125-41f3-a307-e1c841722a86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6" nillable="true" ma:taxonomy="true" ma:internalName="n7493b4506bf40e28c373b1e51a33445" ma:taxonomyFieldName="HOSiteType" ma:displayName="Site type" ma:default="4;#Policy – Significant|b8faeb8d-1a87-44bd-8153-bff3c10363ae" ma:fieldId="{77493b45-06bf-40e2-8c37-3b1e51a33445}" ma:sspId="93e580ec-c125-41f3-a307-e1c841722a86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8" nillable="true" ma:displayName="Migrated" ma:default="0" ma:internalName="HOMig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6cbd3-3eae-4bac-8fc4-0a8f8c903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93e580ec-c125-41f3-a307-e1c841722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21e7-f0a7-4155-a442-ca18a1ac9c72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9F82E-3F8F-4B48-AB20-C57D1A14243F}">
  <ds:schemaRefs>
    <ds:schemaRef ds:uri="http://schemas.microsoft.com/office/2006/metadata/properties"/>
    <ds:schemaRef ds:uri="http://schemas.microsoft.com/office/infopath/2007/PartnerControls"/>
    <ds:schemaRef ds:uri="4e9417ab-6472-4075-af16-7dc6074df91e"/>
    <ds:schemaRef ds:uri="3746cbd3-3eae-4bac-8fc4-0a8f8c903af1"/>
  </ds:schemaRefs>
</ds:datastoreItem>
</file>

<file path=customXml/itemProps2.xml><?xml version="1.0" encoding="utf-8"?>
<ds:datastoreItem xmlns:ds="http://schemas.openxmlformats.org/officeDocument/2006/customXml" ds:itemID="{04B60D5D-F655-4462-835F-B5B3D9764B7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18444C1-FBD0-4007-B282-D396C917B4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B3C368-6943-475D-9897-62B72C925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417ab-6472-4075-af16-7dc6074df91e"/>
    <ds:schemaRef ds:uri="3746cbd3-3eae-4bac-8fc4-0a8f8c903af1"/>
    <ds:schemaRef ds:uri="8d5521e7-f0a7-4155-a442-ca18a1ac9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1. File Sample</vt:lpstr>
      <vt:lpstr>2. Parties and children</vt:lpstr>
      <vt:lpstr>3. Ethnicity</vt:lpstr>
      <vt:lpstr>4. Health issues</vt:lpstr>
      <vt:lpstr>5. Orders applied for</vt:lpstr>
      <vt:lpstr>6. Case duration</vt:lpstr>
      <vt:lpstr>7. Evidence of DA </vt:lpstr>
      <vt:lpstr>8. Types of DA</vt:lpstr>
      <vt:lpstr>9. Cross-allegations</vt:lpstr>
      <vt:lpstr>10. Cases reallocated</vt:lpstr>
      <vt:lpstr>11. MIAMs and mediation</vt:lpstr>
      <vt:lpstr>12. Documents</vt:lpstr>
      <vt:lpstr>13. Safeguarding letters</vt:lpstr>
      <vt:lpstr>14. LA involvement</vt:lpstr>
      <vt:lpstr>15. Other proceedings</vt:lpstr>
      <vt:lpstr>16. Guardian appointment</vt:lpstr>
      <vt:lpstr>17. Hearings</vt:lpstr>
      <vt:lpstr>18. Attendance with parties</vt:lpstr>
      <vt:lpstr>19. Special measures</vt:lpstr>
      <vt:lpstr>20. FFH process</vt:lpstr>
      <vt:lpstr>21. Scott Schedules</vt:lpstr>
      <vt:lpstr>22. FFH outcomes</vt:lpstr>
      <vt:lpstr>23. Section 7 reports</vt:lpstr>
      <vt:lpstr>24. Section 7 recommendations</vt:lpstr>
      <vt:lpstr>25. Final hearings</vt:lpstr>
      <vt:lpstr>26. Judicial continutiy </vt:lpstr>
      <vt:lpstr>27. Interim orders</vt:lpstr>
      <vt:lpstr>28. Final orders</vt:lpstr>
      <vt:lpstr>29. Section 91(14) orders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Jeffery</dc:creator>
  <cp:keywords/>
  <dc:description/>
  <cp:lastModifiedBy>Rosemary Hunter</cp:lastModifiedBy>
  <cp:revision/>
  <dcterms:created xsi:type="dcterms:W3CDTF">2025-05-14T13:16:05Z</dcterms:created>
  <dcterms:modified xsi:type="dcterms:W3CDTF">2025-08-26T15:42:40Z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0x010100A5BF1C78D9F64B679A5EBDE1C6598EBC0100348EAB06A237BE46983DE860CF4A3B67</vt:lpwstr>
  </property>
  <property fmtid="{D5CDD505-2E9C-101B-9397-08002B2CF9AE}" pid="3" name="MediaServiceImageTags">
    <vt:lpwstr/>
  </property>
  <property fmtid="{D5CDD505-2E9C-101B-9397-08002B2CF9AE}" pid="4" name="HOBusinessUnit">
    <vt:lpwstr>61;#DA Commissioner (P)|353b025c-0a9c-49bd-8b14-d29570a998bc</vt:lpwstr>
  </property>
  <property fmtid="{D5CDD505-2E9C-101B-9397-08002B2CF9AE}" pid="5" name="HOCopyrightLevel">
    <vt:lpwstr>2;#Crown|69589897-2828-4761-976e-717fd8e631c9</vt:lpwstr>
  </property>
  <property fmtid="{D5CDD505-2E9C-101B-9397-08002B2CF9AE}" pid="6" name="HOGovernmentSecurityClassification">
    <vt:lpwstr>1;#Official|14c80daa-741b-422c-9722-f71693c9ede4</vt:lpwstr>
  </property>
  <property fmtid="{D5CDD505-2E9C-101B-9397-08002B2CF9AE}" pid="7" name="HOSiteType">
    <vt:lpwstr>4;#Policy – Significant|b8faeb8d-1a87-44bd-8153-bff3c10363ae</vt:lpwstr>
  </property>
</Properties>
</file>